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dick\Box Sync\classes\362G\lectures\"/>
    </mc:Choice>
  </mc:AlternateContent>
  <bookViews>
    <workbookView xWindow="0" yWindow="0" windowWidth="18870" windowHeight="6300"/>
  </bookViews>
  <sheets>
    <sheet name="Monthly Residential Usage" sheetId="1" r:id="rId1"/>
    <sheet name="PEC Net Metering Rate" sheetId="2" r:id="rId2"/>
    <sheet name="AE Value of Solar Rate" sheetId="3" r:id="rId3"/>
    <sheet name="Solar Project Loan" sheetId="5" r:id="rId4"/>
    <sheet name="Compare Tabl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F7" i="7"/>
  <c r="G7" i="7"/>
  <c r="H7" i="7"/>
  <c r="E7" i="7"/>
  <c r="C6" i="5"/>
  <c r="C8" i="5" s="1"/>
  <c r="C4" i="5"/>
  <c r="D23" i="3"/>
  <c r="F23" i="3" s="1"/>
  <c r="I23" i="3"/>
  <c r="E23" i="3"/>
  <c r="F11" i="3"/>
  <c r="N17" i="3"/>
  <c r="F16" i="3"/>
  <c r="G16" i="3"/>
  <c r="H16" i="3"/>
  <c r="I16" i="3"/>
  <c r="J16" i="3"/>
  <c r="K16" i="3"/>
  <c r="L16" i="3"/>
  <c r="M16" i="3"/>
  <c r="N16" i="3"/>
  <c r="O16" i="3"/>
  <c r="P16" i="3"/>
  <c r="E16" i="3"/>
  <c r="D14" i="3"/>
  <c r="D11" i="3"/>
  <c r="G11" i="3" s="1"/>
  <c r="D13" i="3"/>
  <c r="E10" i="3"/>
  <c r="Q4" i="3"/>
  <c r="P3" i="3"/>
  <c r="P6" i="3" s="1"/>
  <c r="O3" i="3"/>
  <c r="O18" i="3" s="1"/>
  <c r="N3" i="3"/>
  <c r="N6" i="3" s="1"/>
  <c r="M3" i="3"/>
  <c r="M12" i="3" s="1"/>
  <c r="L3" i="3"/>
  <c r="L12" i="3" s="1"/>
  <c r="K3" i="3"/>
  <c r="K18" i="3" s="1"/>
  <c r="J3" i="3"/>
  <c r="J6" i="3" s="1"/>
  <c r="I3" i="3"/>
  <c r="I11" i="3" s="1"/>
  <c r="H3" i="3"/>
  <c r="H6" i="3" s="1"/>
  <c r="G3" i="3"/>
  <c r="G18" i="3" s="1"/>
  <c r="F3" i="3"/>
  <c r="F6" i="3" s="1"/>
  <c r="E3" i="3"/>
  <c r="E5" i="3" s="1"/>
  <c r="H12" i="2"/>
  <c r="I12" i="2"/>
  <c r="L12" i="2"/>
  <c r="P12" i="2"/>
  <c r="F13" i="2"/>
  <c r="I13" i="2"/>
  <c r="K13" i="2"/>
  <c r="L13" i="2"/>
  <c r="N13" i="2"/>
  <c r="I14" i="2"/>
  <c r="J14" i="2"/>
  <c r="K14" i="2"/>
  <c r="G11" i="2"/>
  <c r="H11" i="2"/>
  <c r="K11" i="2"/>
  <c r="O11" i="2"/>
  <c r="P11" i="2"/>
  <c r="D23" i="2"/>
  <c r="E18" i="2"/>
  <c r="F18" i="2" s="1"/>
  <c r="Q4" i="2"/>
  <c r="P3" i="2"/>
  <c r="P5" i="2" s="1"/>
  <c r="P7" i="2" s="1"/>
  <c r="O3" i="2"/>
  <c r="O6" i="2" s="1"/>
  <c r="N3" i="2"/>
  <c r="N14" i="2" s="1"/>
  <c r="M3" i="2"/>
  <c r="M6" i="2" s="1"/>
  <c r="L3" i="2"/>
  <c r="L5" i="2" s="1"/>
  <c r="L7" i="2" s="1"/>
  <c r="K3" i="2"/>
  <c r="K6" i="2" s="1"/>
  <c r="J3" i="2"/>
  <c r="J12" i="2" s="1"/>
  <c r="I3" i="2"/>
  <c r="I6" i="2" s="1"/>
  <c r="H3" i="2"/>
  <c r="H6" i="2" s="1"/>
  <c r="G3" i="2"/>
  <c r="G6" i="2" s="1"/>
  <c r="F3" i="2"/>
  <c r="F14" i="2" s="1"/>
  <c r="E3" i="2"/>
  <c r="E6" i="2" s="1"/>
  <c r="M3" i="1"/>
  <c r="L3" i="1"/>
  <c r="K3" i="1"/>
  <c r="J3" i="1"/>
  <c r="I3" i="1"/>
  <c r="H3" i="1"/>
  <c r="G3" i="1"/>
  <c r="F3" i="1"/>
  <c r="E3" i="1"/>
  <c r="D3" i="1"/>
  <c r="C3" i="1"/>
  <c r="B3" i="1"/>
  <c r="M13" i="2" l="1"/>
  <c r="J12" i="3"/>
  <c r="N11" i="2"/>
  <c r="F11" i="2"/>
  <c r="O12" i="2"/>
  <c r="G12" i="2"/>
  <c r="J17" i="3"/>
  <c r="K12" i="3"/>
  <c r="E14" i="2"/>
  <c r="M11" i="2"/>
  <c r="P14" i="2"/>
  <c r="H14" i="2"/>
  <c r="N12" i="2"/>
  <c r="F12" i="2"/>
  <c r="F17" i="3"/>
  <c r="E13" i="2"/>
  <c r="L11" i="2"/>
  <c r="O14" i="2"/>
  <c r="G14" i="2"/>
  <c r="J13" i="2"/>
  <c r="M12" i="2"/>
  <c r="M14" i="3"/>
  <c r="N18" i="3"/>
  <c r="M23" i="3"/>
  <c r="E12" i="2"/>
  <c r="E5" i="2"/>
  <c r="E7" i="2" s="1"/>
  <c r="E20" i="2" s="1"/>
  <c r="Q16" i="3"/>
  <c r="J18" i="3"/>
  <c r="E11" i="2"/>
  <c r="J11" i="2"/>
  <c r="M14" i="2"/>
  <c r="P13" i="2"/>
  <c r="H13" i="2"/>
  <c r="K12" i="2"/>
  <c r="F18" i="3"/>
  <c r="I11" i="2"/>
  <c r="L14" i="2"/>
  <c r="O13" i="2"/>
  <c r="G13" i="2"/>
  <c r="N11" i="3"/>
  <c r="E19" i="2"/>
  <c r="E21" i="2"/>
  <c r="E22" i="2"/>
  <c r="C9" i="5"/>
  <c r="C12" i="5" s="1"/>
  <c r="E28" i="3" s="1"/>
  <c r="P23" i="3"/>
  <c r="L23" i="3"/>
  <c r="H23" i="3"/>
  <c r="O23" i="3"/>
  <c r="K23" i="3"/>
  <c r="G23" i="3"/>
  <c r="N23" i="3"/>
  <c r="J23" i="3"/>
  <c r="Q12" i="3"/>
  <c r="E17" i="3"/>
  <c r="M17" i="3"/>
  <c r="I17" i="3"/>
  <c r="E18" i="3"/>
  <c r="M18" i="3"/>
  <c r="I18" i="3"/>
  <c r="E11" i="3"/>
  <c r="P17" i="3"/>
  <c r="L17" i="3"/>
  <c r="H17" i="3"/>
  <c r="P18" i="3"/>
  <c r="L18" i="3"/>
  <c r="H18" i="3"/>
  <c r="P11" i="3"/>
  <c r="H11" i="3"/>
  <c r="O17" i="3"/>
  <c r="K17" i="3"/>
  <c r="G17" i="3"/>
  <c r="O11" i="3"/>
  <c r="L5" i="3"/>
  <c r="L7" i="3" s="1"/>
  <c r="P5" i="3"/>
  <c r="P7" i="3" s="1"/>
  <c r="L6" i="3"/>
  <c r="L13" i="3"/>
  <c r="N14" i="3"/>
  <c r="J13" i="3"/>
  <c r="H5" i="3"/>
  <c r="H7" i="3" s="1"/>
  <c r="I14" i="3"/>
  <c r="J14" i="3"/>
  <c r="H14" i="3"/>
  <c r="L14" i="3"/>
  <c r="P14" i="3"/>
  <c r="F13" i="3"/>
  <c r="O13" i="3"/>
  <c r="H13" i="3"/>
  <c r="P13" i="3"/>
  <c r="E7" i="3"/>
  <c r="G6" i="3"/>
  <c r="G13" i="3"/>
  <c r="K14" i="3"/>
  <c r="K6" i="3"/>
  <c r="K13" i="3"/>
  <c r="O5" i="3"/>
  <c r="O7" i="3" s="1"/>
  <c r="O14" i="3"/>
  <c r="O6" i="3"/>
  <c r="G5" i="3"/>
  <c r="G7" i="3" s="1"/>
  <c r="G14" i="3"/>
  <c r="K5" i="3"/>
  <c r="K7" i="3" s="1"/>
  <c r="E13" i="3"/>
  <c r="E6" i="3"/>
  <c r="I13" i="3"/>
  <c r="I6" i="3"/>
  <c r="M13" i="3"/>
  <c r="M6" i="3"/>
  <c r="Q3" i="3"/>
  <c r="M5" i="3"/>
  <c r="M7" i="3" s="1"/>
  <c r="F10" i="3"/>
  <c r="E14" i="3"/>
  <c r="F5" i="3"/>
  <c r="F7" i="3" s="1"/>
  <c r="J5" i="3"/>
  <c r="J7" i="3" s="1"/>
  <c r="N5" i="3"/>
  <c r="N7" i="3" s="1"/>
  <c r="I5" i="3"/>
  <c r="I7" i="3" s="1"/>
  <c r="N13" i="3"/>
  <c r="F14" i="3"/>
  <c r="H5" i="2"/>
  <c r="H7" i="2" s="1"/>
  <c r="H22" i="2" s="1"/>
  <c r="M23" i="2"/>
  <c r="L22" i="2"/>
  <c r="L21" i="2"/>
  <c r="L20" i="2"/>
  <c r="L19" i="2"/>
  <c r="P22" i="2"/>
  <c r="P21" i="2"/>
  <c r="P20" i="2"/>
  <c r="P19" i="2"/>
  <c r="Q3" i="2"/>
  <c r="P6" i="2"/>
  <c r="P23" i="2" s="1"/>
  <c r="Q10" i="2"/>
  <c r="K23" i="2"/>
  <c r="L6" i="2"/>
  <c r="L23" i="2" s="1"/>
  <c r="G23" i="2"/>
  <c r="O23" i="2"/>
  <c r="G18" i="2"/>
  <c r="H23" i="2"/>
  <c r="I23" i="2"/>
  <c r="H15" i="2"/>
  <c r="I5" i="2"/>
  <c r="I7" i="2" s="1"/>
  <c r="F6" i="2"/>
  <c r="F23" i="2" s="1"/>
  <c r="F5" i="2"/>
  <c r="F7" i="2" s="1"/>
  <c r="N6" i="2"/>
  <c r="N23" i="2" s="1"/>
  <c r="N5" i="2"/>
  <c r="N7" i="2" s="1"/>
  <c r="M5" i="2"/>
  <c r="M7" i="2" s="1"/>
  <c r="J6" i="2"/>
  <c r="J23" i="2" s="1"/>
  <c r="J5" i="2"/>
  <c r="J7" i="2" s="1"/>
  <c r="O5" i="2"/>
  <c r="O7" i="2" s="1"/>
  <c r="K5" i="2"/>
  <c r="K7" i="2" s="1"/>
  <c r="G5" i="2"/>
  <c r="G7" i="2" s="1"/>
  <c r="O3" i="1"/>
  <c r="N3" i="1"/>
  <c r="E15" i="2" l="1"/>
  <c r="G24" i="3"/>
  <c r="G26" i="3" s="1"/>
  <c r="P28" i="3"/>
  <c r="I28" i="3"/>
  <c r="H28" i="3"/>
  <c r="N28" i="3"/>
  <c r="J28" i="3"/>
  <c r="O28" i="3"/>
  <c r="F28" i="3"/>
  <c r="K28" i="3"/>
  <c r="M28" i="3"/>
  <c r="H20" i="2"/>
  <c r="L28" i="3"/>
  <c r="G28" i="3"/>
  <c r="Q23" i="3"/>
  <c r="H19" i="2"/>
  <c r="H21" i="2"/>
  <c r="O28" i="2"/>
  <c r="K28" i="2"/>
  <c r="G28" i="2"/>
  <c r="N28" i="2"/>
  <c r="J28" i="2"/>
  <c r="F28" i="2"/>
  <c r="M28" i="2"/>
  <c r="I28" i="2"/>
  <c r="E28" i="2"/>
  <c r="P28" i="2"/>
  <c r="L28" i="2"/>
  <c r="H28" i="2"/>
  <c r="F19" i="3"/>
  <c r="F22" i="3" s="1"/>
  <c r="F24" i="3" s="1"/>
  <c r="F26" i="3" s="1"/>
  <c r="Q13" i="3"/>
  <c r="Q18" i="3"/>
  <c r="Q11" i="3"/>
  <c r="E19" i="3"/>
  <c r="E22" i="3" s="1"/>
  <c r="Q14" i="3"/>
  <c r="Q17" i="3"/>
  <c r="Q5" i="3"/>
  <c r="Q6" i="3"/>
  <c r="G10" i="3"/>
  <c r="G19" i="3" s="1"/>
  <c r="G22" i="3" s="1"/>
  <c r="Q7" i="3"/>
  <c r="L15" i="2"/>
  <c r="P15" i="2"/>
  <c r="O22" i="2"/>
  <c r="O21" i="2"/>
  <c r="O20" i="2"/>
  <c r="O19" i="2"/>
  <c r="M22" i="2"/>
  <c r="M21" i="2"/>
  <c r="M20" i="2"/>
  <c r="M19" i="2"/>
  <c r="Q5" i="2"/>
  <c r="J22" i="2"/>
  <c r="J21" i="2"/>
  <c r="J20" i="2"/>
  <c r="J19" i="2"/>
  <c r="N22" i="2"/>
  <c r="N21" i="2"/>
  <c r="N20" i="2"/>
  <c r="N19" i="2"/>
  <c r="I22" i="2"/>
  <c r="I21" i="2"/>
  <c r="I20" i="2"/>
  <c r="I19" i="2"/>
  <c r="G22" i="2"/>
  <c r="G21" i="2"/>
  <c r="G20" i="2"/>
  <c r="G19" i="2"/>
  <c r="K22" i="2"/>
  <c r="K21" i="2"/>
  <c r="K20" i="2"/>
  <c r="K19" i="2"/>
  <c r="Q6" i="2"/>
  <c r="F22" i="2"/>
  <c r="F21" i="2"/>
  <c r="F20" i="2"/>
  <c r="F19" i="2"/>
  <c r="Q7" i="2"/>
  <c r="E23" i="2"/>
  <c r="Q23" i="2" s="1"/>
  <c r="H18" i="2"/>
  <c r="Q14" i="2"/>
  <c r="E24" i="3" l="1"/>
  <c r="G30" i="3"/>
  <c r="F30" i="3"/>
  <c r="Q28" i="3"/>
  <c r="G24" i="2"/>
  <c r="Q28" i="2"/>
  <c r="H10" i="3"/>
  <c r="H19" i="3" s="1"/>
  <c r="H22" i="3" s="1"/>
  <c r="H24" i="3" s="1"/>
  <c r="H26" i="3" s="1"/>
  <c r="H30" i="3" s="1"/>
  <c r="Q12" i="2"/>
  <c r="Q13" i="2"/>
  <c r="Q21" i="2"/>
  <c r="N15" i="2"/>
  <c r="Q22" i="2"/>
  <c r="J15" i="2"/>
  <c r="Q19" i="2"/>
  <c r="F24" i="2"/>
  <c r="F26" i="2" s="1"/>
  <c r="F30" i="2" s="1"/>
  <c r="I15" i="2"/>
  <c r="G15" i="2"/>
  <c r="K15" i="2"/>
  <c r="M15" i="2"/>
  <c r="F15" i="2"/>
  <c r="O15" i="2"/>
  <c r="E24" i="2"/>
  <c r="E26" i="2" s="1"/>
  <c r="E30" i="2" s="1"/>
  <c r="Q20" i="2"/>
  <c r="Q11" i="2"/>
  <c r="H24" i="2"/>
  <c r="H26" i="2" s="1"/>
  <c r="H30" i="2" s="1"/>
  <c r="I18" i="2"/>
  <c r="G26" i="2" l="1"/>
  <c r="G30" i="2" s="1"/>
  <c r="E26" i="3"/>
  <c r="E30" i="3" s="1"/>
  <c r="I10" i="3"/>
  <c r="I19" i="3" s="1"/>
  <c r="I22" i="3" s="1"/>
  <c r="Q15" i="2"/>
  <c r="J18" i="2"/>
  <c r="I24" i="2"/>
  <c r="I26" i="2" s="1"/>
  <c r="I30" i="2" s="1"/>
  <c r="I24" i="3" l="1"/>
  <c r="J10" i="3"/>
  <c r="J19" i="3" s="1"/>
  <c r="J22" i="3" s="1"/>
  <c r="J24" i="3" s="1"/>
  <c r="J26" i="3" s="1"/>
  <c r="J30" i="3" s="1"/>
  <c r="K18" i="2"/>
  <c r="J24" i="2"/>
  <c r="J26" i="2" s="1"/>
  <c r="J30" i="2" s="1"/>
  <c r="I26" i="3" l="1"/>
  <c r="I30" i="3" s="1"/>
  <c r="K10" i="3"/>
  <c r="K19" i="3" s="1"/>
  <c r="K22" i="3" s="1"/>
  <c r="K24" i="3" s="1"/>
  <c r="K26" i="3" s="1"/>
  <c r="K30" i="3" s="1"/>
  <c r="K24" i="2"/>
  <c r="K26" i="2" s="1"/>
  <c r="K30" i="2" s="1"/>
  <c r="L18" i="2"/>
  <c r="L10" i="3" l="1"/>
  <c r="L19" i="3" s="1"/>
  <c r="L22" i="3" s="1"/>
  <c r="L24" i="3" s="1"/>
  <c r="L26" i="3" s="1"/>
  <c r="L30" i="3" s="1"/>
  <c r="L24" i="2"/>
  <c r="L26" i="2" s="1"/>
  <c r="L30" i="2" s="1"/>
  <c r="M18" i="2"/>
  <c r="M10" i="3" l="1"/>
  <c r="M19" i="3" s="1"/>
  <c r="M22" i="3" s="1"/>
  <c r="M24" i="3" s="1"/>
  <c r="M26" i="3" s="1"/>
  <c r="M30" i="3" s="1"/>
  <c r="N18" i="2"/>
  <c r="M24" i="2"/>
  <c r="M26" i="2" s="1"/>
  <c r="M30" i="2" s="1"/>
  <c r="N10" i="3" l="1"/>
  <c r="N19" i="3" s="1"/>
  <c r="N22" i="3" s="1"/>
  <c r="N24" i="3" s="1"/>
  <c r="O18" i="2"/>
  <c r="N24" i="2"/>
  <c r="N26" i="2" s="1"/>
  <c r="N30" i="2" s="1"/>
  <c r="N26" i="3" l="1"/>
  <c r="N30" i="3" s="1"/>
  <c r="O10" i="3"/>
  <c r="O19" i="3" s="1"/>
  <c r="O22" i="3" s="1"/>
  <c r="O24" i="3" s="1"/>
  <c r="O26" i="3" s="1"/>
  <c r="O30" i="3" s="1"/>
  <c r="O24" i="2"/>
  <c r="O26" i="2" s="1"/>
  <c r="O30" i="2" s="1"/>
  <c r="P18" i="2"/>
  <c r="P10" i="3" l="1"/>
  <c r="P19" i="3" s="1"/>
  <c r="P22" i="3" s="1"/>
  <c r="P24" i="2"/>
  <c r="Q18" i="2"/>
  <c r="P24" i="3" l="1"/>
  <c r="Q22" i="3"/>
  <c r="Q24" i="2"/>
  <c r="Q26" i="2" s="1"/>
  <c r="P26" i="2"/>
  <c r="P30" i="2" s="1"/>
  <c r="Q30" i="2" s="1"/>
  <c r="Q19" i="3"/>
  <c r="Q10" i="3"/>
  <c r="P26" i="3" l="1"/>
  <c r="Q24" i="3"/>
  <c r="P30" i="3" l="1"/>
  <c r="Q30" i="3" s="1"/>
  <c r="Q26" i="3"/>
</calcChain>
</file>

<file path=xl/sharedStrings.xml><?xml version="1.0" encoding="utf-8"?>
<sst xmlns="http://schemas.openxmlformats.org/spreadsheetml/2006/main" count="151" uniqueCount="67">
  <si>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</si>
  <si>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</si>
  <si>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</si>
  <si>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</si>
  <si>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</si>
  <si>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</si>
  <si>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</si>
  <si>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</si>
  <si>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</si>
  <si>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</si>
  <si>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</si>
  <si>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</si>
  <si>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</si>
  <si>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Total</t>
  </si>
  <si>
    <t>Member Usage</t>
  </si>
  <si>
    <t>kWh</t>
  </si>
  <si>
    <t>Net Energy</t>
  </si>
  <si>
    <t>Service Availability Charge (SAC)</t>
  </si>
  <si>
    <t>$/Mo.</t>
  </si>
  <si>
    <t>Delivery Charge</t>
  </si>
  <si>
    <t>$/kWh</t>
  </si>
  <si>
    <t>TCOS</t>
  </si>
  <si>
    <t>Base Power Cost</t>
  </si>
  <si>
    <t>Power Cost Adjustment (PCA)</t>
  </si>
  <si>
    <t>Difference</t>
  </si>
  <si>
    <t>Net Metering Credit Rate</t>
  </si>
  <si>
    <t>Delivered Energy</t>
  </si>
  <si>
    <t>Solar Production</t>
  </si>
  <si>
    <t>Received Energy</t>
  </si>
  <si>
    <t>Month</t>
  </si>
  <si>
    <t>Usage (kWh)</t>
  </si>
  <si>
    <t>Charges Without Solar</t>
  </si>
  <si>
    <t>Charges With Solar</t>
  </si>
  <si>
    <t>Customer Charge</t>
  </si>
  <si>
    <t>Power Supply Adjustment NS</t>
  </si>
  <si>
    <t>Power Supply Adjustment S</t>
  </si>
  <si>
    <t>Community Benefit</t>
  </si>
  <si>
    <t>Regulatory Charge</t>
  </si>
  <si>
    <t>Energy Charge</t>
  </si>
  <si>
    <t>Tier 1: 0 - 500 kWh</t>
  </si>
  <si>
    <t>Tier 2: &gt;500 - 1000 kWh</t>
  </si>
  <si>
    <t>Tier 3: &gt;1000 kWh</t>
  </si>
  <si>
    <t>Value of Solar</t>
  </si>
  <si>
    <t>Value of Solar Rate</t>
  </si>
  <si>
    <t>Usage Charge (From Above)</t>
  </si>
  <si>
    <t>$</t>
  </si>
  <si>
    <t>Project Size</t>
  </si>
  <si>
    <t>Total Project Cost</t>
  </si>
  <si>
    <t>Investment Tax Credit</t>
  </si>
  <si>
    <t>Loan Amount</t>
  </si>
  <si>
    <t>Interest</t>
  </si>
  <si>
    <t>Term</t>
  </si>
  <si>
    <t>Years</t>
  </si>
  <si>
    <t>Monthly Payment</t>
  </si>
  <si>
    <t>kW-DC</t>
  </si>
  <si>
    <t>kW-AC</t>
  </si>
  <si>
    <t>Cost per W-DC</t>
  </si>
  <si>
    <t>$/W-DC</t>
  </si>
  <si>
    <t>Austin Energy Value of Solar</t>
  </si>
  <si>
    <t>PEC Net Metering</t>
  </si>
  <si>
    <t>Loan Payment</t>
  </si>
  <si>
    <t>Cost/(Savings)</t>
  </si>
  <si>
    <t>No Solar</t>
  </si>
  <si>
    <t>PEC</t>
  </si>
  <si>
    <t>AE</t>
  </si>
  <si>
    <t>With Solar</t>
  </si>
  <si>
    <t>Net Cost/(Savings) with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</si>
</sst>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#0;###0"/>
    <numFmt numFmtId="165" formatCode="&quot;$&quot;#,##0.0000_);[Red]\(&quot;$&quot;#,##0.0000\)"/>
    <numFmt numFmtId="166" formatCode="0.0000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4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64" fontId="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2" fontId="0" fillId="0" borderId="0" xfId="0" applyNumberFormat="1"/>
    <xf numFmtId="0" fontId="2" fillId="0" borderId="0" xfId="0" applyFont="1"/>
    <xf numFmtId="8" fontId="2" fillId="0" borderId="0" xfId="0" applyNumberFormat="1" applyFont="1"/>
    <xf numFmtId="164" fontId="6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vertical="center" wrapText="1" readingOrder="1"/>
    </xf>
    <xf numFmtId="164" fontId="0" fillId="0" borderId="0" xfId="0" applyNumberFormat="1"/>
    <xf numFmtId="1" fontId="8" fillId="0" borderId="0" xfId="0" applyNumberFormat="1" applyFont="1" applyAlignment="1">
      <alignment horizontal="right" vertical="center" wrapText="1" readingOrder="1"/>
    </xf>
    <xf numFmtId="3" fontId="8" fillId="0" borderId="0" xfId="0" applyNumberFormat="1" applyFont="1" applyAlignment="1">
      <alignment horizontal="righ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2" fontId="8" fillId="0" borderId="0" xfId="0" applyNumberFormat="1" applyFont="1" applyAlignment="1">
      <alignment horizontal="right" vertical="center" wrapText="1" readingOrder="1"/>
    </xf>
    <xf numFmtId="8" fontId="8" fillId="0" borderId="0" xfId="0" applyNumberFormat="1" applyFont="1" applyAlignment="1">
      <alignment horizontal="right" vertical="center" wrapText="1" readingOrder="1"/>
    </xf>
    <xf numFmtId="0" fontId="8" fillId="0" borderId="0" xfId="0" applyFont="1" applyAlignment="1">
      <alignment horizontal="left" wrapText="1" readingOrder="1"/>
    </xf>
    <xf numFmtId="0" fontId="8" fillId="0" borderId="0" xfId="0" applyFont="1" applyAlignment="1">
      <alignment horizontal="right" wrapText="1" readingOrder="1"/>
    </xf>
    <xf numFmtId="0" fontId="9" fillId="0" borderId="0" xfId="0" applyFont="1" applyAlignment="1">
      <alignment horizontal="left" wrapText="1" readingOrder="1"/>
    </xf>
    <xf numFmtId="0" fontId="11" fillId="0" borderId="0" xfId="0" applyFont="1" applyAlignment="1">
      <alignment horizontal="right" wrapText="1"/>
    </xf>
    <xf numFmtId="8" fontId="9" fillId="0" borderId="0" xfId="0" applyNumberFormat="1" applyFont="1" applyAlignment="1">
      <alignment horizontal="right" vertical="center" wrapText="1" readingOrder="1"/>
    </xf>
    <xf numFmtId="166" fontId="8" fillId="0" borderId="0" xfId="0" applyNumberFormat="1" applyFont="1" applyAlignment="1">
      <alignment horizontal="right" vertical="center" wrapText="1" readingOrder="1"/>
    </xf>
    <xf numFmtId="165" fontId="0" fillId="0" borderId="0" xfId="0" applyNumberFormat="1"/>
    <xf numFmtId="9" fontId="0" fillId="0" borderId="0" xfId="2" applyFont="1"/>
    <xf numFmtId="10" fontId="0" fillId="0" borderId="0" xfId="0" applyNumberFormat="1"/>
    <xf numFmtId="6" fontId="0" fillId="0" borderId="0" xfId="0" applyNumberFormat="1"/>
    <xf numFmtId="1" fontId="0" fillId="0" borderId="0" xfId="0" applyNumberFormat="1"/>
    <xf numFmtId="167" fontId="0" fillId="0" borderId="0" xfId="1" applyNumberFormat="1" applyFont="1"/>
    <xf numFmtId="0" fontId="0" fillId="3" borderId="0" xfId="0" applyFill="1"/>
    <xf numFmtId="164" fontId="6" fillId="3" borderId="0" xfId="0" applyNumberFormat="1" applyFont="1" applyFill="1" applyAlignment="1">
      <alignment horizontal="center" vertical="top" wrapText="1"/>
    </xf>
    <xf numFmtId="6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"/>
  <sheetViews>
    <sheetView tabSelected="1" workbookViewId="0">
      <selection activeCell="G7" sqref="G7"/>
    </sheetView>
  </sheetViews>
  <sheetFormatPr defaultRowHeight="15" x14ac:dyDescent="0.25"/>
  <cols>
    <col min="1" max="1" width="13.85546875" customWidth="1"/>
    <col min="2" max="15" width="12.28515625" customWidth="1"/>
  </cols>
  <sheetData>
    <row r="2" spans="1:15" ht="15.75" x14ac:dyDescent="0.25">
      <c r="A2" s="2" t="s">
        <v>29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</row>
    <row r="3" spans="1:15" ht="15.75" x14ac:dyDescent="0.25">
      <c r="A3" s="2" t="s">
        <v>30</v>
      </c>
      <c r="B3" s="1">
        <f>314740889/263041</f>
        <v>1196.5468843260176</v>
      </c>
      <c r="C3" s="1">
        <f>294131507/263734</f>
        <v>1115.2582033412452</v>
      </c>
      <c r="D3" s="1">
        <f>232432610/264461</f>
        <v>878.89182147840324</v>
      </c>
      <c r="E3" s="1">
        <f>214875355/265435</f>
        <v>809.52155895040221</v>
      </c>
      <c r="F3" s="1">
        <f>243414863/266461</f>
        <v>913.51028105426315</v>
      </c>
      <c r="G3" s="1">
        <f>323348855/267640</f>
        <v>1208.1484643551039</v>
      </c>
      <c r="H3" s="1">
        <f>445098926/268616</f>
        <v>1657.0082422491587</v>
      </c>
      <c r="I3" s="1">
        <f>458808875/269744</f>
        <v>1700.9048394032861</v>
      </c>
      <c r="J3" s="1">
        <f>401413018/270825</f>
        <v>1482.1859798763039</v>
      </c>
      <c r="K3" s="1">
        <f>334366532/271824</f>
        <v>1230.084657719701</v>
      </c>
      <c r="L3" s="1">
        <f>255208803/272796</f>
        <v>935.52985747591606</v>
      </c>
      <c r="M3" s="1">
        <f>272235520/273662</f>
        <v>994.78743851904903</v>
      </c>
      <c r="N3" s="3">
        <f>AVERAGE(B3:M3)</f>
        <v>1176.8648523957374</v>
      </c>
      <c r="O3" s="3">
        <f>SUM(B3:M3)</f>
        <v>14122.37822874885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workbookViewId="0">
      <selection activeCell="Q4" sqref="Q4"/>
    </sheetView>
  </sheetViews>
  <sheetFormatPr defaultRowHeight="15" x14ac:dyDescent="0.25"/>
  <cols>
    <col min="1" max="1" width="4.7109375" customWidth="1"/>
    <col min="2" max="2" width="28.42578125" customWidth="1"/>
    <col min="3" max="3" width="7.7109375" customWidth="1"/>
    <col min="4" max="4" width="9.85546875" customWidth="1"/>
    <col min="5" max="16" width="11" customWidth="1"/>
    <col min="17" max="17" width="10.85546875" customWidth="1"/>
  </cols>
  <sheetData>
    <row r="1" spans="2:17" x14ac:dyDescent="0.25">
      <c r="B1" s="6" t="s">
        <v>59</v>
      </c>
    </row>
    <row r="2" spans="2:17" ht="21.6" customHeight="1" x14ac:dyDescent="0.25"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11</v>
      </c>
      <c r="Q2" s="9" t="s">
        <v>13</v>
      </c>
    </row>
    <row r="3" spans="2:17" x14ac:dyDescent="0.25">
      <c r="B3" s="10" t="s">
        <v>14</v>
      </c>
      <c r="C3" s="10" t="s">
        <v>15</v>
      </c>
      <c r="D3" s="10"/>
      <c r="E3" s="8">
        <f>314740889/263041</f>
        <v>1196.5468843260176</v>
      </c>
      <c r="F3" s="8">
        <f>294131507/263734</f>
        <v>1115.2582033412452</v>
      </c>
      <c r="G3" s="8">
        <f>232432610/264461</f>
        <v>878.89182147840324</v>
      </c>
      <c r="H3" s="8">
        <f>214875355/265435</f>
        <v>809.52155895040221</v>
      </c>
      <c r="I3" s="8">
        <f>243414863/266461</f>
        <v>913.51028105426315</v>
      </c>
      <c r="J3" s="8">
        <f>323348855/267640</f>
        <v>1208.1484643551039</v>
      </c>
      <c r="K3" s="8">
        <f>445098926/268616</f>
        <v>1657.0082422491587</v>
      </c>
      <c r="L3" s="8">
        <f>458808875/269744</f>
        <v>1700.9048394032861</v>
      </c>
      <c r="M3" s="8">
        <f>401413018/270825</f>
        <v>1482.1859798763039</v>
      </c>
      <c r="N3" s="8">
        <f>334366532/271824</f>
        <v>1230.084657719701</v>
      </c>
      <c r="O3" s="8">
        <f>255208803/272796</f>
        <v>935.52985747591606</v>
      </c>
      <c r="P3" s="8">
        <f>272235520/273662</f>
        <v>994.78743851904903</v>
      </c>
      <c r="Q3" s="11">
        <f>SUM(E3:P3)</f>
        <v>14122.37822874885</v>
      </c>
    </row>
    <row r="4" spans="2:17" x14ac:dyDescent="0.25">
      <c r="B4" s="10" t="s">
        <v>27</v>
      </c>
      <c r="C4" s="10" t="s">
        <v>15</v>
      </c>
      <c r="D4" s="10"/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11">
        <f t="shared" ref="Q4:Q7" si="0">SUM(E4:P4)</f>
        <v>0</v>
      </c>
    </row>
    <row r="5" spans="2:17" x14ac:dyDescent="0.25">
      <c r="B5" s="10" t="s">
        <v>26</v>
      </c>
      <c r="C5" s="10" t="s">
        <v>15</v>
      </c>
      <c r="D5" s="10"/>
      <c r="E5" s="12">
        <f>IF(E3&gt;E4,E3-E4,0)</f>
        <v>1196.5468843260176</v>
      </c>
      <c r="F5" s="12">
        <f t="shared" ref="F5:P5" si="1">IF(F3&gt;F4,F3-F4,0)</f>
        <v>1115.2582033412452</v>
      </c>
      <c r="G5" s="12">
        <f t="shared" si="1"/>
        <v>878.89182147840324</v>
      </c>
      <c r="H5" s="12">
        <f t="shared" si="1"/>
        <v>809.52155895040221</v>
      </c>
      <c r="I5" s="12">
        <f t="shared" si="1"/>
        <v>913.51028105426315</v>
      </c>
      <c r="J5" s="12">
        <f t="shared" si="1"/>
        <v>1208.1484643551039</v>
      </c>
      <c r="K5" s="12">
        <f t="shared" si="1"/>
        <v>1657.0082422491587</v>
      </c>
      <c r="L5" s="12">
        <f t="shared" si="1"/>
        <v>1700.9048394032861</v>
      </c>
      <c r="M5" s="12">
        <f t="shared" si="1"/>
        <v>1482.1859798763039</v>
      </c>
      <c r="N5" s="12">
        <f t="shared" si="1"/>
        <v>1230.084657719701</v>
      </c>
      <c r="O5" s="12">
        <f t="shared" si="1"/>
        <v>935.52985747591606</v>
      </c>
      <c r="P5" s="12">
        <f t="shared" si="1"/>
        <v>994.78743851904903</v>
      </c>
      <c r="Q5" s="11">
        <f t="shared" si="0"/>
        <v>14122.37822874885</v>
      </c>
    </row>
    <row r="6" spans="2:17" x14ac:dyDescent="0.25">
      <c r="B6" s="10" t="s">
        <v>28</v>
      </c>
      <c r="C6" s="10" t="s">
        <v>15</v>
      </c>
      <c r="D6" s="10"/>
      <c r="E6" s="12">
        <f>IF(E4&gt;E3,E4-E3,0)</f>
        <v>0</v>
      </c>
      <c r="F6" s="12">
        <f t="shared" ref="F6:P6" si="2">IF(F4&gt;F3,F4-F3,0)</f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12">
        <f t="shared" si="2"/>
        <v>0</v>
      </c>
      <c r="P6" s="12">
        <f t="shared" si="2"/>
        <v>0</v>
      </c>
      <c r="Q6" s="11">
        <f t="shared" si="0"/>
        <v>0</v>
      </c>
    </row>
    <row r="7" spans="2:17" x14ac:dyDescent="0.25">
      <c r="B7" s="10" t="s">
        <v>16</v>
      </c>
      <c r="C7" s="10" t="s">
        <v>15</v>
      </c>
      <c r="D7" s="10"/>
      <c r="E7" s="13">
        <f>E5</f>
        <v>1196.5468843260176</v>
      </c>
      <c r="F7" s="13">
        <f t="shared" ref="F7:P7" si="3">F5</f>
        <v>1115.2582033412452</v>
      </c>
      <c r="G7" s="13">
        <f t="shared" si="3"/>
        <v>878.89182147840324</v>
      </c>
      <c r="H7" s="13">
        <f t="shared" si="3"/>
        <v>809.52155895040221</v>
      </c>
      <c r="I7" s="13">
        <f t="shared" si="3"/>
        <v>913.51028105426315</v>
      </c>
      <c r="J7" s="13">
        <f t="shared" si="3"/>
        <v>1208.1484643551039</v>
      </c>
      <c r="K7" s="13">
        <f t="shared" si="3"/>
        <v>1657.0082422491587</v>
      </c>
      <c r="L7" s="13">
        <f t="shared" si="3"/>
        <v>1700.9048394032861</v>
      </c>
      <c r="M7" s="13">
        <f t="shared" si="3"/>
        <v>1482.1859798763039</v>
      </c>
      <c r="N7" s="13">
        <f t="shared" si="3"/>
        <v>1230.084657719701</v>
      </c>
      <c r="O7" s="13">
        <f t="shared" si="3"/>
        <v>935.52985747591606</v>
      </c>
      <c r="P7" s="13">
        <f t="shared" si="3"/>
        <v>994.78743851904903</v>
      </c>
      <c r="Q7" s="11">
        <f t="shared" si="0"/>
        <v>14122.37822874885</v>
      </c>
    </row>
    <row r="8" spans="2:17" x14ac:dyDescent="0.25">
      <c r="B8" s="10"/>
      <c r="C8" s="10"/>
      <c r="D8" s="1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7" x14ac:dyDescent="0.25">
      <c r="B9" s="14" t="s">
        <v>31</v>
      </c>
      <c r="C9" s="10"/>
      <c r="D9" s="15"/>
      <c r="E9" s="16"/>
    </row>
    <row r="10" spans="2:17" ht="30" x14ac:dyDescent="0.25">
      <c r="B10" s="10" t="s">
        <v>17</v>
      </c>
      <c r="C10" s="10" t="s">
        <v>18</v>
      </c>
      <c r="D10" s="17">
        <v>20</v>
      </c>
      <c r="E10" s="18">
        <f>D10</f>
        <v>20</v>
      </c>
      <c r="F10" s="18">
        <f t="shared" ref="F10:P10" si="4">E10</f>
        <v>20</v>
      </c>
      <c r="G10" s="18">
        <f t="shared" si="4"/>
        <v>20</v>
      </c>
      <c r="H10" s="18">
        <f t="shared" si="4"/>
        <v>20</v>
      </c>
      <c r="I10" s="18">
        <f t="shared" si="4"/>
        <v>20</v>
      </c>
      <c r="J10" s="18">
        <f t="shared" si="4"/>
        <v>20</v>
      </c>
      <c r="K10" s="18">
        <f t="shared" si="4"/>
        <v>20</v>
      </c>
      <c r="L10" s="18">
        <f t="shared" si="4"/>
        <v>20</v>
      </c>
      <c r="M10" s="18">
        <f t="shared" si="4"/>
        <v>20</v>
      </c>
      <c r="N10" s="18">
        <f t="shared" si="4"/>
        <v>20</v>
      </c>
      <c r="O10" s="18">
        <f t="shared" si="4"/>
        <v>20</v>
      </c>
      <c r="P10" s="18">
        <f t="shared" si="4"/>
        <v>20</v>
      </c>
      <c r="Q10" s="18">
        <f t="shared" ref="Q10:Q15" si="5">SUM(E10:P10)</f>
        <v>240</v>
      </c>
    </row>
    <row r="11" spans="2:17" x14ac:dyDescent="0.25">
      <c r="B11" s="19" t="s">
        <v>19</v>
      </c>
      <c r="C11" s="19" t="s">
        <v>20</v>
      </c>
      <c r="D11" s="20">
        <v>2.7119999999999998E-2</v>
      </c>
      <c r="E11" s="18">
        <f>$D11*E$3</f>
        <v>32.450351502921592</v>
      </c>
      <c r="F11" s="18">
        <f t="shared" ref="F11:P14" si="6">$D11*F$3</f>
        <v>30.245802474614568</v>
      </c>
      <c r="G11" s="18">
        <f t="shared" si="6"/>
        <v>23.835546198494296</v>
      </c>
      <c r="H11" s="18">
        <f t="shared" si="6"/>
        <v>21.954224678734906</v>
      </c>
      <c r="I11" s="18">
        <f t="shared" si="6"/>
        <v>24.774398822191614</v>
      </c>
      <c r="J11" s="18">
        <f t="shared" si="6"/>
        <v>32.764986353310412</v>
      </c>
      <c r="K11" s="18">
        <f t="shared" si="6"/>
        <v>44.938063529797184</v>
      </c>
      <c r="L11" s="18">
        <f t="shared" si="6"/>
        <v>46.128539244617116</v>
      </c>
      <c r="M11" s="18">
        <f t="shared" si="6"/>
        <v>40.196883774245357</v>
      </c>
      <c r="N11" s="18">
        <f t="shared" si="6"/>
        <v>33.359895917358287</v>
      </c>
      <c r="O11" s="18">
        <f t="shared" si="6"/>
        <v>25.371569734746842</v>
      </c>
      <c r="P11" s="18">
        <f t="shared" si="6"/>
        <v>26.978635332636607</v>
      </c>
      <c r="Q11" s="18">
        <f t="shared" si="5"/>
        <v>382.99889756366878</v>
      </c>
    </row>
    <row r="12" spans="2:17" x14ac:dyDescent="0.25">
      <c r="B12" s="19" t="s">
        <v>21</v>
      </c>
      <c r="C12" s="19" t="s">
        <v>20</v>
      </c>
      <c r="D12" s="20">
        <v>1.158E-2</v>
      </c>
      <c r="E12" s="18">
        <f t="shared" ref="E12:E14" si="7">$D12*E$3</f>
        <v>13.856012920495283</v>
      </c>
      <c r="F12" s="18">
        <f t="shared" si="6"/>
        <v>12.914689994691621</v>
      </c>
      <c r="G12" s="18">
        <f t="shared" si="6"/>
        <v>10.17756729271991</v>
      </c>
      <c r="H12" s="18">
        <f t="shared" si="6"/>
        <v>9.374259652645657</v>
      </c>
      <c r="I12" s="18">
        <f t="shared" si="6"/>
        <v>10.578449054608367</v>
      </c>
      <c r="J12" s="18">
        <f t="shared" si="6"/>
        <v>13.990359217232102</v>
      </c>
      <c r="K12" s="18">
        <f t="shared" si="6"/>
        <v>19.188155445245258</v>
      </c>
      <c r="L12" s="18">
        <f t="shared" si="6"/>
        <v>19.696478040290053</v>
      </c>
      <c r="M12" s="18">
        <f t="shared" si="6"/>
        <v>17.163713646967601</v>
      </c>
      <c r="N12" s="18">
        <f t="shared" si="6"/>
        <v>14.244380336394137</v>
      </c>
      <c r="O12" s="18">
        <f t="shared" si="6"/>
        <v>10.833435749571107</v>
      </c>
      <c r="P12" s="18">
        <f t="shared" si="6"/>
        <v>11.519638538050588</v>
      </c>
      <c r="Q12" s="18">
        <f t="shared" si="5"/>
        <v>163.53713988891167</v>
      </c>
    </row>
    <row r="13" spans="2:17" x14ac:dyDescent="0.25">
      <c r="B13" s="19" t="s">
        <v>22</v>
      </c>
      <c r="C13" s="19" t="s">
        <v>20</v>
      </c>
      <c r="D13" s="20">
        <v>6.0499999999999998E-2</v>
      </c>
      <c r="E13" s="18">
        <f t="shared" si="7"/>
        <v>72.391086501724061</v>
      </c>
      <c r="F13" s="18">
        <f t="shared" si="6"/>
        <v>67.47312130214533</v>
      </c>
      <c r="G13" s="18">
        <f t="shared" si="6"/>
        <v>53.172955199443393</v>
      </c>
      <c r="H13" s="18">
        <f t="shared" si="6"/>
        <v>48.976054316499329</v>
      </c>
      <c r="I13" s="18">
        <f t="shared" si="6"/>
        <v>55.267372003782917</v>
      </c>
      <c r="J13" s="18">
        <f t="shared" si="6"/>
        <v>73.092982093483784</v>
      </c>
      <c r="K13" s="18">
        <f t="shared" si="6"/>
        <v>100.24899865607409</v>
      </c>
      <c r="L13" s="18">
        <f t="shared" si="6"/>
        <v>102.90474278389881</v>
      </c>
      <c r="M13" s="18">
        <f t="shared" si="6"/>
        <v>89.672251782516383</v>
      </c>
      <c r="N13" s="18">
        <f t="shared" si="6"/>
        <v>74.420121792041911</v>
      </c>
      <c r="O13" s="18">
        <f t="shared" si="6"/>
        <v>56.59955637729292</v>
      </c>
      <c r="P13" s="18">
        <f t="shared" si="6"/>
        <v>60.184640030402463</v>
      </c>
      <c r="Q13" s="18">
        <f t="shared" si="5"/>
        <v>854.40388283930531</v>
      </c>
    </row>
    <row r="14" spans="2:17" x14ac:dyDescent="0.25">
      <c r="B14" s="19" t="s">
        <v>23</v>
      </c>
      <c r="C14" s="19" t="s">
        <v>20</v>
      </c>
      <c r="D14" s="20">
        <v>-1.4E-2</v>
      </c>
      <c r="E14" s="18">
        <f t="shared" si="7"/>
        <v>-16.751656380564246</v>
      </c>
      <c r="F14" s="18">
        <f t="shared" si="6"/>
        <v>-15.613614846777434</v>
      </c>
      <c r="G14" s="18">
        <f t="shared" si="6"/>
        <v>-12.304485500697645</v>
      </c>
      <c r="H14" s="18">
        <f t="shared" si="6"/>
        <v>-11.333301825305631</v>
      </c>
      <c r="I14" s="18">
        <f t="shared" si="6"/>
        <v>-12.789143934759684</v>
      </c>
      <c r="J14" s="18">
        <f t="shared" si="6"/>
        <v>-16.914078500971456</v>
      </c>
      <c r="K14" s="18">
        <f t="shared" si="6"/>
        <v>-23.198115391488223</v>
      </c>
      <c r="L14" s="18">
        <f t="shared" si="6"/>
        <v>-23.812667751646007</v>
      </c>
      <c r="M14" s="18">
        <f t="shared" si="6"/>
        <v>-20.750603718268255</v>
      </c>
      <c r="N14" s="18">
        <f t="shared" si="6"/>
        <v>-17.221185208075813</v>
      </c>
      <c r="O14" s="18">
        <f t="shared" si="6"/>
        <v>-13.097418004662826</v>
      </c>
      <c r="P14" s="18">
        <f t="shared" si="6"/>
        <v>-13.927024139266686</v>
      </c>
      <c r="Q14" s="18">
        <f t="shared" si="5"/>
        <v>-197.71329520248389</v>
      </c>
    </row>
    <row r="15" spans="2:17" x14ac:dyDescent="0.25">
      <c r="B15" s="21" t="s">
        <v>13</v>
      </c>
      <c r="C15" s="21" t="s">
        <v>45</v>
      </c>
      <c r="D15" s="22"/>
      <c r="E15" s="23">
        <f t="shared" ref="E15:P15" si="8">SUM(E10:E14)</f>
        <v>121.9457945445767</v>
      </c>
      <c r="F15" s="23">
        <f t="shared" si="8"/>
        <v>115.01999892467407</v>
      </c>
      <c r="G15" s="23">
        <f t="shared" si="8"/>
        <v>94.881583189959969</v>
      </c>
      <c r="H15" s="23">
        <f t="shared" si="8"/>
        <v>88.971236822574269</v>
      </c>
      <c r="I15" s="23">
        <f t="shared" si="8"/>
        <v>97.83107594582323</v>
      </c>
      <c r="J15" s="23">
        <f t="shared" si="8"/>
        <v>122.93424916305484</v>
      </c>
      <c r="K15" s="23">
        <f t="shared" si="8"/>
        <v>161.17710223962831</v>
      </c>
      <c r="L15" s="23">
        <f t="shared" si="8"/>
        <v>164.91709231715998</v>
      </c>
      <c r="M15" s="23">
        <f t="shared" si="8"/>
        <v>146.28224548546109</v>
      </c>
      <c r="N15" s="23">
        <f t="shared" si="8"/>
        <v>124.80321283771852</v>
      </c>
      <c r="O15" s="23">
        <f t="shared" si="8"/>
        <v>99.707143856948036</v>
      </c>
      <c r="P15" s="23">
        <f t="shared" si="8"/>
        <v>104.75588976182296</v>
      </c>
      <c r="Q15" s="23">
        <f t="shared" si="5"/>
        <v>1443.226625089402</v>
      </c>
    </row>
    <row r="16" spans="2:17" x14ac:dyDescent="0.25">
      <c r="B16" s="10"/>
      <c r="C16" s="10"/>
      <c r="D16" s="1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25">
      <c r="B17" s="14" t="s">
        <v>32</v>
      </c>
      <c r="C17" s="10"/>
      <c r="D17" s="15"/>
      <c r="E17" s="16"/>
    </row>
    <row r="18" spans="2:17" ht="30" x14ac:dyDescent="0.25">
      <c r="B18" s="10" t="s">
        <v>17</v>
      </c>
      <c r="C18" s="10" t="s">
        <v>18</v>
      </c>
      <c r="D18" s="17">
        <v>20</v>
      </c>
      <c r="E18" s="18">
        <f>D18</f>
        <v>20</v>
      </c>
      <c r="F18" s="18">
        <f t="shared" ref="F18:P18" si="9">E18</f>
        <v>20</v>
      </c>
      <c r="G18" s="18">
        <f t="shared" si="9"/>
        <v>20</v>
      </c>
      <c r="H18" s="18">
        <f t="shared" si="9"/>
        <v>20</v>
      </c>
      <c r="I18" s="18">
        <f t="shared" si="9"/>
        <v>20</v>
      </c>
      <c r="J18" s="18">
        <f t="shared" si="9"/>
        <v>20</v>
      </c>
      <c r="K18" s="18">
        <f t="shared" si="9"/>
        <v>20</v>
      </c>
      <c r="L18" s="18">
        <f t="shared" si="9"/>
        <v>20</v>
      </c>
      <c r="M18" s="18">
        <f t="shared" si="9"/>
        <v>20</v>
      </c>
      <c r="N18" s="18">
        <f t="shared" si="9"/>
        <v>20</v>
      </c>
      <c r="O18" s="18">
        <f t="shared" si="9"/>
        <v>20</v>
      </c>
      <c r="P18" s="18">
        <f t="shared" si="9"/>
        <v>20</v>
      </c>
      <c r="Q18" s="18">
        <f t="shared" ref="Q18:Q24" si="10">SUM(E18:P18)</f>
        <v>240</v>
      </c>
    </row>
    <row r="19" spans="2:17" x14ac:dyDescent="0.25">
      <c r="B19" s="19" t="s">
        <v>19</v>
      </c>
      <c r="C19" s="19" t="s">
        <v>20</v>
      </c>
      <c r="D19" s="20">
        <v>2.7119999999999998E-2</v>
      </c>
      <c r="E19" s="18">
        <f>$D19*E$7</f>
        <v>32.450351502921592</v>
      </c>
      <c r="F19" s="18">
        <f t="shared" ref="F19:P22" si="11">$D19*F$7</f>
        <v>30.245802474614568</v>
      </c>
      <c r="G19" s="18">
        <f t="shared" si="11"/>
        <v>23.835546198494296</v>
      </c>
      <c r="H19" s="18">
        <f t="shared" si="11"/>
        <v>21.954224678734906</v>
      </c>
      <c r="I19" s="18">
        <f t="shared" si="11"/>
        <v>24.774398822191614</v>
      </c>
      <c r="J19" s="18">
        <f t="shared" si="11"/>
        <v>32.764986353310412</v>
      </c>
      <c r="K19" s="18">
        <f t="shared" si="11"/>
        <v>44.938063529797184</v>
      </c>
      <c r="L19" s="18">
        <f t="shared" si="11"/>
        <v>46.128539244617116</v>
      </c>
      <c r="M19" s="18">
        <f t="shared" si="11"/>
        <v>40.196883774245357</v>
      </c>
      <c r="N19" s="18">
        <f t="shared" si="11"/>
        <v>33.359895917358287</v>
      </c>
      <c r="O19" s="18">
        <f t="shared" si="11"/>
        <v>25.371569734746842</v>
      </c>
      <c r="P19" s="18">
        <f t="shared" si="11"/>
        <v>26.978635332636607</v>
      </c>
      <c r="Q19" s="18">
        <f t="shared" si="10"/>
        <v>382.99889756366878</v>
      </c>
    </row>
    <row r="20" spans="2:17" x14ac:dyDescent="0.25">
      <c r="B20" s="19" t="s">
        <v>21</v>
      </c>
      <c r="C20" s="19" t="s">
        <v>20</v>
      </c>
      <c r="D20" s="20">
        <v>1.158E-2</v>
      </c>
      <c r="E20" s="18">
        <f t="shared" ref="E20:E22" si="12">$D20*E$7</f>
        <v>13.856012920495283</v>
      </c>
      <c r="F20" s="18">
        <f t="shared" si="11"/>
        <v>12.914689994691621</v>
      </c>
      <c r="G20" s="18">
        <f t="shared" si="11"/>
        <v>10.17756729271991</v>
      </c>
      <c r="H20" s="18">
        <f t="shared" si="11"/>
        <v>9.374259652645657</v>
      </c>
      <c r="I20" s="18">
        <f t="shared" si="11"/>
        <v>10.578449054608367</v>
      </c>
      <c r="J20" s="18">
        <f t="shared" si="11"/>
        <v>13.990359217232102</v>
      </c>
      <c r="K20" s="18">
        <f t="shared" si="11"/>
        <v>19.188155445245258</v>
      </c>
      <c r="L20" s="18">
        <f t="shared" si="11"/>
        <v>19.696478040290053</v>
      </c>
      <c r="M20" s="18">
        <f t="shared" si="11"/>
        <v>17.163713646967601</v>
      </c>
      <c r="N20" s="18">
        <f t="shared" si="11"/>
        <v>14.244380336394137</v>
      </c>
      <c r="O20" s="18">
        <f t="shared" si="11"/>
        <v>10.833435749571107</v>
      </c>
      <c r="P20" s="18">
        <f t="shared" si="11"/>
        <v>11.519638538050588</v>
      </c>
      <c r="Q20" s="18">
        <f t="shared" si="10"/>
        <v>163.53713988891167</v>
      </c>
    </row>
    <row r="21" spans="2:17" x14ac:dyDescent="0.25">
      <c r="B21" s="19" t="s">
        <v>22</v>
      </c>
      <c r="C21" s="19" t="s">
        <v>20</v>
      </c>
      <c r="D21" s="20">
        <v>6.0499999999999998E-2</v>
      </c>
      <c r="E21" s="18">
        <f t="shared" si="12"/>
        <v>72.391086501724061</v>
      </c>
      <c r="F21" s="18">
        <f t="shared" si="11"/>
        <v>67.47312130214533</v>
      </c>
      <c r="G21" s="18">
        <f t="shared" si="11"/>
        <v>53.172955199443393</v>
      </c>
      <c r="H21" s="18">
        <f t="shared" si="11"/>
        <v>48.976054316499329</v>
      </c>
      <c r="I21" s="18">
        <f t="shared" si="11"/>
        <v>55.267372003782917</v>
      </c>
      <c r="J21" s="18">
        <f t="shared" si="11"/>
        <v>73.092982093483784</v>
      </c>
      <c r="K21" s="18">
        <f t="shared" si="11"/>
        <v>100.24899865607409</v>
      </c>
      <c r="L21" s="18">
        <f t="shared" si="11"/>
        <v>102.90474278389881</v>
      </c>
      <c r="M21" s="18">
        <f t="shared" si="11"/>
        <v>89.672251782516383</v>
      </c>
      <c r="N21" s="18">
        <f t="shared" si="11"/>
        <v>74.420121792041911</v>
      </c>
      <c r="O21" s="18">
        <f t="shared" si="11"/>
        <v>56.59955637729292</v>
      </c>
      <c r="P21" s="18">
        <f t="shared" si="11"/>
        <v>60.184640030402463</v>
      </c>
      <c r="Q21" s="18">
        <f t="shared" si="10"/>
        <v>854.40388283930531</v>
      </c>
    </row>
    <row r="22" spans="2:17" x14ac:dyDescent="0.25">
      <c r="B22" s="19" t="s">
        <v>23</v>
      </c>
      <c r="C22" s="19" t="s">
        <v>20</v>
      </c>
      <c r="D22" s="20">
        <v>-1.4E-2</v>
      </c>
      <c r="E22" s="18">
        <f t="shared" si="12"/>
        <v>-16.751656380564246</v>
      </c>
      <c r="F22" s="18">
        <f t="shared" si="11"/>
        <v>-15.613614846777434</v>
      </c>
      <c r="G22" s="18">
        <f t="shared" si="11"/>
        <v>-12.304485500697645</v>
      </c>
      <c r="H22" s="18">
        <f t="shared" si="11"/>
        <v>-11.333301825305631</v>
      </c>
      <c r="I22" s="18">
        <f t="shared" si="11"/>
        <v>-12.789143934759684</v>
      </c>
      <c r="J22" s="18">
        <f t="shared" si="11"/>
        <v>-16.914078500971456</v>
      </c>
      <c r="K22" s="18">
        <f t="shared" si="11"/>
        <v>-23.198115391488223</v>
      </c>
      <c r="L22" s="18">
        <f t="shared" si="11"/>
        <v>-23.812667751646007</v>
      </c>
      <c r="M22" s="18">
        <f t="shared" si="11"/>
        <v>-20.750603718268255</v>
      </c>
      <c r="N22" s="18">
        <f t="shared" si="11"/>
        <v>-17.221185208075813</v>
      </c>
      <c r="O22" s="18">
        <f t="shared" si="11"/>
        <v>-13.097418004662826</v>
      </c>
      <c r="P22" s="18">
        <f t="shared" si="11"/>
        <v>-13.927024139266686</v>
      </c>
      <c r="Q22" s="18">
        <f t="shared" si="10"/>
        <v>-197.71329520248389</v>
      </c>
    </row>
    <row r="23" spans="2:17" x14ac:dyDescent="0.25">
      <c r="B23" s="19" t="s">
        <v>25</v>
      </c>
      <c r="C23" s="19" t="s">
        <v>20</v>
      </c>
      <c r="D23" s="20">
        <f>(D22+D21)*-1</f>
        <v>-4.65E-2</v>
      </c>
      <c r="E23" s="18">
        <f>$D23*E$6</f>
        <v>0</v>
      </c>
      <c r="F23" s="18">
        <f t="shared" ref="F23:P23" si="13">$D23*F$6</f>
        <v>0</v>
      </c>
      <c r="G23" s="18">
        <f t="shared" si="13"/>
        <v>0</v>
      </c>
      <c r="H23" s="18">
        <f t="shared" si="13"/>
        <v>0</v>
      </c>
      <c r="I23" s="18">
        <f t="shared" si="13"/>
        <v>0</v>
      </c>
      <c r="J23" s="18">
        <f t="shared" si="13"/>
        <v>0</v>
      </c>
      <c r="K23" s="18">
        <f t="shared" si="13"/>
        <v>0</v>
      </c>
      <c r="L23" s="18">
        <f t="shared" si="13"/>
        <v>0</v>
      </c>
      <c r="M23" s="18">
        <f t="shared" si="13"/>
        <v>0</v>
      </c>
      <c r="N23" s="18">
        <f t="shared" si="13"/>
        <v>0</v>
      </c>
      <c r="O23" s="18">
        <f t="shared" si="13"/>
        <v>0</v>
      </c>
      <c r="P23" s="18">
        <f t="shared" si="13"/>
        <v>0</v>
      </c>
      <c r="Q23" s="18">
        <f t="shared" si="10"/>
        <v>0</v>
      </c>
    </row>
    <row r="24" spans="2:17" x14ac:dyDescent="0.25">
      <c r="B24" s="21" t="s">
        <v>13</v>
      </c>
      <c r="C24" s="21" t="s">
        <v>45</v>
      </c>
      <c r="D24" s="22"/>
      <c r="E24" s="23">
        <f>SUM(E18:E23)</f>
        <v>121.9457945445767</v>
      </c>
      <c r="F24" s="23">
        <f t="shared" ref="F24" si="14">SUM(F18:F23)</f>
        <v>115.01999892467407</v>
      </c>
      <c r="G24" s="23">
        <f t="shared" ref="G24" si="15">SUM(G18:G23)</f>
        <v>94.881583189959969</v>
      </c>
      <c r="H24" s="23">
        <f t="shared" ref="H24" si="16">SUM(H18:H23)</f>
        <v>88.971236822574269</v>
      </c>
      <c r="I24" s="23">
        <f t="shared" ref="I24" si="17">SUM(I18:I23)</f>
        <v>97.83107594582323</v>
      </c>
      <c r="J24" s="23">
        <f t="shared" ref="J24" si="18">SUM(J18:J23)</f>
        <v>122.93424916305484</v>
      </c>
      <c r="K24" s="23">
        <f t="shared" ref="K24" si="19">SUM(K18:K23)</f>
        <v>161.17710223962831</v>
      </c>
      <c r="L24" s="23">
        <f t="shared" ref="L24" si="20">SUM(L18:L23)</f>
        <v>164.91709231715998</v>
      </c>
      <c r="M24" s="23">
        <f t="shared" ref="M24" si="21">SUM(M18:M23)</f>
        <v>146.28224548546109</v>
      </c>
      <c r="N24" s="23">
        <f t="shared" ref="N24" si="22">SUM(N18:N23)</f>
        <v>124.80321283771852</v>
      </c>
      <c r="O24" s="23">
        <f t="shared" ref="O24" si="23">SUM(O18:O23)</f>
        <v>99.707143856948036</v>
      </c>
      <c r="P24" s="23">
        <f t="shared" ref="P24" si="24">SUM(P18:P23)</f>
        <v>104.75588976182296</v>
      </c>
      <c r="Q24" s="23">
        <f t="shared" si="10"/>
        <v>1443.226625089402</v>
      </c>
    </row>
    <row r="25" spans="2:17" x14ac:dyDescent="0.25">
      <c r="B25" s="19"/>
      <c r="C25" s="19"/>
      <c r="E25" s="25"/>
    </row>
    <row r="26" spans="2:17" x14ac:dyDescent="0.25">
      <c r="B26" s="21" t="s">
        <v>24</v>
      </c>
      <c r="C26" s="6"/>
      <c r="D26" s="6"/>
      <c r="E26" s="7">
        <f>E24-E15</f>
        <v>0</v>
      </c>
      <c r="F26" s="7">
        <f t="shared" ref="F26:Q26" si="25">F24-F15</f>
        <v>0</v>
      </c>
      <c r="G26" s="7">
        <f t="shared" si="25"/>
        <v>0</v>
      </c>
      <c r="H26" s="7">
        <f t="shared" si="25"/>
        <v>0</v>
      </c>
      <c r="I26" s="7">
        <f t="shared" si="25"/>
        <v>0</v>
      </c>
      <c r="J26" s="7">
        <f t="shared" si="25"/>
        <v>0</v>
      </c>
      <c r="K26" s="7">
        <f t="shared" si="25"/>
        <v>0</v>
      </c>
      <c r="L26" s="7">
        <f t="shared" si="25"/>
        <v>0</v>
      </c>
      <c r="M26" s="7">
        <f t="shared" si="25"/>
        <v>0</v>
      </c>
      <c r="N26" s="7">
        <f t="shared" si="25"/>
        <v>0</v>
      </c>
      <c r="O26" s="7">
        <f t="shared" si="25"/>
        <v>0</v>
      </c>
      <c r="P26" s="7">
        <f t="shared" si="25"/>
        <v>0</v>
      </c>
      <c r="Q26" s="7">
        <f t="shared" si="25"/>
        <v>0</v>
      </c>
    </row>
    <row r="28" spans="2:17" x14ac:dyDescent="0.25">
      <c r="B28" s="6" t="s">
        <v>60</v>
      </c>
      <c r="C28" s="6"/>
      <c r="D28" s="6"/>
      <c r="E28" s="33">
        <f>'Solar Project Loan'!$C$12</f>
        <v>94.743856021397619</v>
      </c>
      <c r="F28" s="33">
        <f>'Solar Project Loan'!$C$12</f>
        <v>94.743856021397619</v>
      </c>
      <c r="G28" s="33">
        <f>'Solar Project Loan'!$C$12</f>
        <v>94.743856021397619</v>
      </c>
      <c r="H28" s="33">
        <f>'Solar Project Loan'!$C$12</f>
        <v>94.743856021397619</v>
      </c>
      <c r="I28" s="33">
        <f>'Solar Project Loan'!$C$12</f>
        <v>94.743856021397619</v>
      </c>
      <c r="J28" s="33">
        <f>'Solar Project Loan'!$C$12</f>
        <v>94.743856021397619</v>
      </c>
      <c r="K28" s="33">
        <f>'Solar Project Loan'!$C$12</f>
        <v>94.743856021397619</v>
      </c>
      <c r="L28" s="33">
        <f>'Solar Project Loan'!$C$12</f>
        <v>94.743856021397619</v>
      </c>
      <c r="M28" s="33">
        <f>'Solar Project Loan'!$C$12</f>
        <v>94.743856021397619</v>
      </c>
      <c r="N28" s="33">
        <f>'Solar Project Loan'!$C$12</f>
        <v>94.743856021397619</v>
      </c>
      <c r="O28" s="33">
        <f>'Solar Project Loan'!$C$12</f>
        <v>94.743856021397619</v>
      </c>
      <c r="P28" s="33">
        <f>'Solar Project Loan'!$C$12</f>
        <v>94.743856021397619</v>
      </c>
      <c r="Q28" s="33">
        <f>SUM(E28:P28)</f>
        <v>1136.9262722567714</v>
      </c>
    </row>
    <row r="30" spans="2:17" x14ac:dyDescent="0.25">
      <c r="B30" s="6" t="s">
        <v>61</v>
      </c>
      <c r="E30" s="7">
        <f>E26+E28</f>
        <v>94.743856021397619</v>
      </c>
      <c r="F30" s="7">
        <f t="shared" ref="F30:P30" si="26">F26+F28</f>
        <v>94.743856021397619</v>
      </c>
      <c r="G30" s="7">
        <f t="shared" si="26"/>
        <v>94.743856021397619</v>
      </c>
      <c r="H30" s="7">
        <f t="shared" si="26"/>
        <v>94.743856021397619</v>
      </c>
      <c r="I30" s="7">
        <f t="shared" si="26"/>
        <v>94.743856021397619</v>
      </c>
      <c r="J30" s="7">
        <f t="shared" si="26"/>
        <v>94.743856021397619</v>
      </c>
      <c r="K30" s="7">
        <f t="shared" si="26"/>
        <v>94.743856021397619</v>
      </c>
      <c r="L30" s="7">
        <f t="shared" si="26"/>
        <v>94.743856021397619</v>
      </c>
      <c r="M30" s="7">
        <f t="shared" si="26"/>
        <v>94.743856021397619</v>
      </c>
      <c r="N30" s="7">
        <f t="shared" si="26"/>
        <v>94.743856021397619</v>
      </c>
      <c r="O30" s="7">
        <f t="shared" si="26"/>
        <v>94.743856021397619</v>
      </c>
      <c r="P30" s="7">
        <f t="shared" si="26"/>
        <v>94.743856021397619</v>
      </c>
      <c r="Q30" s="33">
        <f>SUM(E30:P30)</f>
        <v>1136.9262722567714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workbookViewId="0">
      <selection activeCell="Q4" sqref="Q4"/>
    </sheetView>
  </sheetViews>
  <sheetFormatPr defaultRowHeight="15" x14ac:dyDescent="0.25"/>
  <cols>
    <col min="1" max="1" width="3.7109375" customWidth="1"/>
    <col min="2" max="2" width="28.42578125" customWidth="1"/>
    <col min="3" max="3" width="7.7109375" customWidth="1"/>
    <col min="4" max="4" width="9.85546875" customWidth="1"/>
    <col min="5" max="16" width="11" customWidth="1"/>
    <col min="17" max="17" width="10.85546875" customWidth="1"/>
  </cols>
  <sheetData>
    <row r="1" spans="2:17" x14ac:dyDescent="0.25">
      <c r="B1" s="6" t="s">
        <v>58</v>
      </c>
    </row>
    <row r="2" spans="2:17" ht="21.6" customHeight="1" x14ac:dyDescent="0.25"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11</v>
      </c>
      <c r="Q2" s="9" t="s">
        <v>13</v>
      </c>
    </row>
    <row r="3" spans="2:17" x14ac:dyDescent="0.25">
      <c r="B3" s="10" t="s">
        <v>14</v>
      </c>
      <c r="C3" s="10" t="s">
        <v>15</v>
      </c>
      <c r="D3" s="10"/>
      <c r="E3" s="8">
        <f>314740889/263041</f>
        <v>1196.5468843260176</v>
      </c>
      <c r="F3" s="8">
        <f>294131507/263734</f>
        <v>1115.2582033412452</v>
      </c>
      <c r="G3" s="8">
        <f>232432610/264461</f>
        <v>878.89182147840324</v>
      </c>
      <c r="H3" s="8">
        <f>214875355/265435</f>
        <v>809.52155895040221</v>
      </c>
      <c r="I3" s="8">
        <f>243414863/266461</f>
        <v>913.51028105426315</v>
      </c>
      <c r="J3" s="8">
        <f>323348855/267640</f>
        <v>1208.1484643551039</v>
      </c>
      <c r="K3" s="8">
        <f>445098926/268616</f>
        <v>1657.0082422491587</v>
      </c>
      <c r="L3" s="8">
        <f>458808875/269744</f>
        <v>1700.9048394032861</v>
      </c>
      <c r="M3" s="8">
        <f>401413018/270825</f>
        <v>1482.1859798763039</v>
      </c>
      <c r="N3" s="8">
        <f>334366532/271824</f>
        <v>1230.084657719701</v>
      </c>
      <c r="O3" s="8">
        <f>255208803/272796</f>
        <v>935.52985747591606</v>
      </c>
      <c r="P3" s="8">
        <f>272235520/273662</f>
        <v>994.78743851904903</v>
      </c>
      <c r="Q3" s="11">
        <f>SUM(E3:P3)</f>
        <v>14122.37822874885</v>
      </c>
    </row>
    <row r="4" spans="2:17" x14ac:dyDescent="0.25">
      <c r="B4" s="10" t="s">
        <v>27</v>
      </c>
      <c r="C4" s="10" t="s">
        <v>15</v>
      </c>
      <c r="D4" s="10"/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11">
        <f t="shared" ref="Q4:Q7" si="0">SUM(E4:P4)</f>
        <v>0</v>
      </c>
    </row>
    <row r="5" spans="2:17" x14ac:dyDescent="0.25">
      <c r="B5" s="10" t="s">
        <v>26</v>
      </c>
      <c r="C5" s="10" t="s">
        <v>15</v>
      </c>
      <c r="D5" s="10"/>
      <c r="E5" s="12">
        <f>IF(E3&gt;E4,E3-E4,0)</f>
        <v>1196.5468843260176</v>
      </c>
      <c r="F5" s="12">
        <f t="shared" ref="F5:P5" si="1">IF(F3&gt;F4,F3-F4,0)</f>
        <v>1115.2582033412452</v>
      </c>
      <c r="G5" s="12">
        <f t="shared" si="1"/>
        <v>878.89182147840324</v>
      </c>
      <c r="H5" s="12">
        <f t="shared" si="1"/>
        <v>809.52155895040221</v>
      </c>
      <c r="I5" s="12">
        <f t="shared" si="1"/>
        <v>913.51028105426315</v>
      </c>
      <c r="J5" s="12">
        <f t="shared" si="1"/>
        <v>1208.1484643551039</v>
      </c>
      <c r="K5" s="12">
        <f t="shared" si="1"/>
        <v>1657.0082422491587</v>
      </c>
      <c r="L5" s="12">
        <f t="shared" si="1"/>
        <v>1700.9048394032861</v>
      </c>
      <c r="M5" s="12">
        <f t="shared" si="1"/>
        <v>1482.1859798763039</v>
      </c>
      <c r="N5" s="12">
        <f t="shared" si="1"/>
        <v>1230.084657719701</v>
      </c>
      <c r="O5" s="12">
        <f t="shared" si="1"/>
        <v>935.52985747591606</v>
      </c>
      <c r="P5" s="12">
        <f t="shared" si="1"/>
        <v>994.78743851904903</v>
      </c>
      <c r="Q5" s="11">
        <f t="shared" si="0"/>
        <v>14122.37822874885</v>
      </c>
    </row>
    <row r="6" spans="2:17" x14ac:dyDescent="0.25">
      <c r="B6" s="10" t="s">
        <v>28</v>
      </c>
      <c r="C6" s="10" t="s">
        <v>15</v>
      </c>
      <c r="D6" s="10"/>
      <c r="E6" s="12">
        <f>IF(E4&gt;E3,E4-E3,0)</f>
        <v>0</v>
      </c>
      <c r="F6" s="12">
        <f t="shared" ref="F6:P6" si="2">IF(F4&gt;F3,F4-F3,0)</f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12">
        <f t="shared" si="2"/>
        <v>0</v>
      </c>
      <c r="P6" s="12">
        <f t="shared" si="2"/>
        <v>0</v>
      </c>
      <c r="Q6" s="11">
        <f t="shared" si="0"/>
        <v>0</v>
      </c>
    </row>
    <row r="7" spans="2:17" x14ac:dyDescent="0.25">
      <c r="B7" s="10" t="s">
        <v>16</v>
      </c>
      <c r="C7" s="10" t="s">
        <v>15</v>
      </c>
      <c r="D7" s="10"/>
      <c r="E7" s="13">
        <f>E5</f>
        <v>1196.5468843260176</v>
      </c>
      <c r="F7" s="13">
        <f t="shared" ref="F7:P7" si="3">F5</f>
        <v>1115.2582033412452</v>
      </c>
      <c r="G7" s="13">
        <f t="shared" si="3"/>
        <v>878.89182147840324</v>
      </c>
      <c r="H7" s="13">
        <f t="shared" si="3"/>
        <v>809.52155895040221</v>
      </c>
      <c r="I7" s="13">
        <f t="shared" si="3"/>
        <v>913.51028105426315</v>
      </c>
      <c r="J7" s="13">
        <f t="shared" si="3"/>
        <v>1208.1484643551039</v>
      </c>
      <c r="K7" s="13">
        <f t="shared" si="3"/>
        <v>1657.0082422491587</v>
      </c>
      <c r="L7" s="13">
        <f t="shared" si="3"/>
        <v>1700.9048394032861</v>
      </c>
      <c r="M7" s="13">
        <f t="shared" si="3"/>
        <v>1482.1859798763039</v>
      </c>
      <c r="N7" s="13">
        <f t="shared" si="3"/>
        <v>1230.084657719701</v>
      </c>
      <c r="O7" s="13">
        <f t="shared" si="3"/>
        <v>935.52985747591606</v>
      </c>
      <c r="P7" s="13">
        <f t="shared" si="3"/>
        <v>994.78743851904903</v>
      </c>
      <c r="Q7" s="11">
        <f t="shared" si="0"/>
        <v>14122.37822874885</v>
      </c>
    </row>
    <row r="8" spans="2:17" x14ac:dyDescent="0.25">
      <c r="B8" s="10"/>
      <c r="C8" s="10"/>
      <c r="D8" s="1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7" x14ac:dyDescent="0.25">
      <c r="B9" s="14" t="s">
        <v>31</v>
      </c>
      <c r="C9" s="10"/>
      <c r="D9" s="15"/>
      <c r="E9" s="16"/>
    </row>
    <row r="10" spans="2:17" x14ac:dyDescent="0.25">
      <c r="B10" s="10" t="s">
        <v>33</v>
      </c>
      <c r="C10" s="10" t="s">
        <v>18</v>
      </c>
      <c r="D10" s="17">
        <v>10</v>
      </c>
      <c r="E10" s="18">
        <f>D10</f>
        <v>10</v>
      </c>
      <c r="F10" s="18">
        <f t="shared" ref="F10:P10" si="4">E10</f>
        <v>10</v>
      </c>
      <c r="G10" s="18">
        <f t="shared" si="4"/>
        <v>10</v>
      </c>
      <c r="H10" s="18">
        <f t="shared" si="4"/>
        <v>10</v>
      </c>
      <c r="I10" s="18">
        <f t="shared" si="4"/>
        <v>10</v>
      </c>
      <c r="J10" s="18">
        <f t="shared" si="4"/>
        <v>10</v>
      </c>
      <c r="K10" s="18">
        <f t="shared" si="4"/>
        <v>10</v>
      </c>
      <c r="L10" s="18">
        <f t="shared" si="4"/>
        <v>10</v>
      </c>
      <c r="M10" s="18">
        <f t="shared" si="4"/>
        <v>10</v>
      </c>
      <c r="N10" s="18">
        <f t="shared" si="4"/>
        <v>10</v>
      </c>
      <c r="O10" s="18">
        <f t="shared" si="4"/>
        <v>10</v>
      </c>
      <c r="P10" s="18">
        <f t="shared" si="4"/>
        <v>10</v>
      </c>
      <c r="Q10" s="18">
        <f t="shared" ref="Q10:Q18" si="5">SUM(E10:P10)</f>
        <v>120</v>
      </c>
    </row>
    <row r="11" spans="2:17" x14ac:dyDescent="0.25">
      <c r="B11" s="19" t="s">
        <v>34</v>
      </c>
      <c r="C11" s="19" t="s">
        <v>20</v>
      </c>
      <c r="D11" s="20">
        <f>2.727/100</f>
        <v>2.7269999999999999E-2</v>
      </c>
      <c r="E11" s="18">
        <f>$D11*E3</f>
        <v>32.629833535570498</v>
      </c>
      <c r="F11" s="18">
        <f t="shared" ref="F11:P11" si="6">$D11*F3</f>
        <v>30.413091205115755</v>
      </c>
      <c r="G11" s="18">
        <f t="shared" si="6"/>
        <v>23.967379971716056</v>
      </c>
      <c r="H11" s="18">
        <f t="shared" si="6"/>
        <v>22.075652912577468</v>
      </c>
      <c r="I11" s="18">
        <f t="shared" si="6"/>
        <v>24.911425364349753</v>
      </c>
      <c r="J11" s="18"/>
      <c r="K11" s="18"/>
      <c r="L11" s="18"/>
      <c r="M11" s="18"/>
      <c r="N11" s="18">
        <f t="shared" si="6"/>
        <v>33.544408616016248</v>
      </c>
      <c r="O11" s="18">
        <f t="shared" si="6"/>
        <v>25.511899213368231</v>
      </c>
      <c r="P11" s="18">
        <f t="shared" si="6"/>
        <v>27.127853448414466</v>
      </c>
      <c r="Q11" s="18">
        <f t="shared" si="5"/>
        <v>220.18154426712849</v>
      </c>
    </row>
    <row r="12" spans="2:17" x14ac:dyDescent="0.25">
      <c r="B12" s="19" t="s">
        <v>35</v>
      </c>
      <c r="C12" s="19" t="s">
        <v>20</v>
      </c>
      <c r="D12" s="20">
        <v>2.8289999999999999E-2</v>
      </c>
      <c r="E12" s="18"/>
      <c r="F12" s="18"/>
      <c r="G12" s="18"/>
      <c r="H12" s="18"/>
      <c r="I12" s="18"/>
      <c r="J12" s="18">
        <f>$D12*J3</f>
        <v>34.17852005660589</v>
      </c>
      <c r="K12" s="18">
        <f t="shared" ref="K12:M12" si="7">$D12*K3</f>
        <v>46.876763173228696</v>
      </c>
      <c r="L12" s="18">
        <f t="shared" si="7"/>
        <v>48.118597906718961</v>
      </c>
      <c r="M12" s="18">
        <f t="shared" si="7"/>
        <v>41.931041370700633</v>
      </c>
      <c r="N12" s="18"/>
      <c r="O12" s="18"/>
      <c r="P12" s="18"/>
      <c r="Q12" s="18">
        <f t="shared" si="5"/>
        <v>171.10492250725417</v>
      </c>
    </row>
    <row r="13" spans="2:17" x14ac:dyDescent="0.25">
      <c r="B13" s="19" t="s">
        <v>36</v>
      </c>
      <c r="C13" s="19" t="s">
        <v>20</v>
      </c>
      <c r="D13" s="20">
        <f>(0.118+0.251)/100</f>
        <v>3.6900000000000001E-3</v>
      </c>
      <c r="E13" s="18">
        <f t="shared" ref="E13:E14" si="8">$D13*E$3</f>
        <v>4.4152580031630047</v>
      </c>
      <c r="F13" s="18">
        <f t="shared" ref="F13:P14" si="9">$D13*F$3</f>
        <v>4.1153027703291949</v>
      </c>
      <c r="G13" s="18">
        <f t="shared" si="9"/>
        <v>3.2431108212553079</v>
      </c>
      <c r="H13" s="18">
        <f t="shared" si="9"/>
        <v>2.9871345525269843</v>
      </c>
      <c r="I13" s="18">
        <f t="shared" si="9"/>
        <v>3.3708529370902309</v>
      </c>
      <c r="J13" s="18">
        <f t="shared" si="9"/>
        <v>4.4580678334703334</v>
      </c>
      <c r="K13" s="18">
        <f t="shared" si="9"/>
        <v>6.1143604138993961</v>
      </c>
      <c r="L13" s="18">
        <f t="shared" si="9"/>
        <v>6.2763388573981258</v>
      </c>
      <c r="M13" s="18">
        <f t="shared" si="9"/>
        <v>5.4692662657435616</v>
      </c>
      <c r="N13" s="18">
        <f t="shared" si="9"/>
        <v>4.5390123869856964</v>
      </c>
      <c r="O13" s="18">
        <f t="shared" si="9"/>
        <v>3.4521051740861304</v>
      </c>
      <c r="P13" s="18">
        <f t="shared" si="9"/>
        <v>3.670765648135291</v>
      </c>
      <c r="Q13" s="18">
        <f t="shared" si="5"/>
        <v>52.111575664083261</v>
      </c>
    </row>
    <row r="14" spans="2:17" x14ac:dyDescent="0.25">
      <c r="B14" s="19" t="s">
        <v>37</v>
      </c>
      <c r="C14" s="19" t="s">
        <v>20</v>
      </c>
      <c r="D14" s="20">
        <f>1.343/100</f>
        <v>1.3429999999999999E-2</v>
      </c>
      <c r="E14" s="18">
        <f t="shared" si="8"/>
        <v>16.069624656498416</v>
      </c>
      <c r="F14" s="18">
        <f t="shared" si="9"/>
        <v>14.977917670872923</v>
      </c>
      <c r="G14" s="18">
        <f t="shared" si="9"/>
        <v>11.803517162454956</v>
      </c>
      <c r="H14" s="18">
        <f t="shared" si="9"/>
        <v>10.871874536703901</v>
      </c>
      <c r="I14" s="18">
        <f t="shared" si="9"/>
        <v>12.268443074558753</v>
      </c>
      <c r="J14" s="18">
        <f t="shared" si="9"/>
        <v>16.225433876289046</v>
      </c>
      <c r="K14" s="18">
        <f t="shared" si="9"/>
        <v>22.253620693406202</v>
      </c>
      <c r="L14" s="18">
        <f t="shared" si="9"/>
        <v>22.843151993186133</v>
      </c>
      <c r="M14" s="18">
        <f t="shared" si="9"/>
        <v>19.905757709738761</v>
      </c>
      <c r="N14" s="18">
        <f t="shared" si="9"/>
        <v>16.520036953175584</v>
      </c>
      <c r="O14" s="18">
        <f t="shared" si="9"/>
        <v>12.564165985901552</v>
      </c>
      <c r="P14" s="18">
        <f t="shared" si="9"/>
        <v>13.359995299310828</v>
      </c>
      <c r="Q14" s="18">
        <f t="shared" si="5"/>
        <v>189.66353961209705</v>
      </c>
    </row>
    <row r="15" spans="2:17" x14ac:dyDescent="0.25">
      <c r="B15" s="19" t="s">
        <v>38</v>
      </c>
      <c r="C15" s="19" t="s">
        <v>20</v>
      </c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25">
      <c r="B16" s="19" t="s">
        <v>39</v>
      </c>
      <c r="C16" s="19" t="s">
        <v>20</v>
      </c>
      <c r="D16" s="20">
        <v>3.6999999999999998E-2</v>
      </c>
      <c r="E16" s="18">
        <f>500*$D$16</f>
        <v>18.5</v>
      </c>
      <c r="F16" s="18">
        <f t="shared" ref="F16:P16" si="10">500*$D$16</f>
        <v>18.5</v>
      </c>
      <c r="G16" s="18">
        <f t="shared" si="10"/>
        <v>18.5</v>
      </c>
      <c r="H16" s="18">
        <f t="shared" si="10"/>
        <v>18.5</v>
      </c>
      <c r="I16" s="18">
        <f t="shared" si="10"/>
        <v>18.5</v>
      </c>
      <c r="J16" s="18">
        <f t="shared" si="10"/>
        <v>18.5</v>
      </c>
      <c r="K16" s="18">
        <f t="shared" si="10"/>
        <v>18.5</v>
      </c>
      <c r="L16" s="18">
        <f t="shared" si="10"/>
        <v>18.5</v>
      </c>
      <c r="M16" s="18">
        <f t="shared" si="10"/>
        <v>18.5</v>
      </c>
      <c r="N16" s="18">
        <f t="shared" si="10"/>
        <v>18.5</v>
      </c>
      <c r="O16" s="18">
        <f t="shared" si="10"/>
        <v>18.5</v>
      </c>
      <c r="P16" s="18">
        <f t="shared" si="10"/>
        <v>18.5</v>
      </c>
      <c r="Q16" s="18">
        <f t="shared" si="5"/>
        <v>222</v>
      </c>
    </row>
    <row r="17" spans="2:17" x14ac:dyDescent="0.25">
      <c r="B17" s="19" t="s">
        <v>40</v>
      </c>
      <c r="C17" s="19" t="s">
        <v>20</v>
      </c>
      <c r="D17" s="20">
        <v>5.6000000000000001E-2</v>
      </c>
      <c r="E17" s="18">
        <f>IF((E3-500)&lt;500,$D17*(E3-500),500*$D17)</f>
        <v>28</v>
      </c>
      <c r="F17" s="18">
        <f t="shared" ref="F17:P17" si="11">IF((F3-500)&lt;500,$D17*(F3-500),500*$D17)</f>
        <v>28</v>
      </c>
      <c r="G17" s="18">
        <f t="shared" si="11"/>
        <v>21.217942002790583</v>
      </c>
      <c r="H17" s="18">
        <f t="shared" si="11"/>
        <v>17.333207301222526</v>
      </c>
      <c r="I17" s="18">
        <f t="shared" si="11"/>
        <v>23.156575739038736</v>
      </c>
      <c r="J17" s="18">
        <f t="shared" si="11"/>
        <v>28</v>
      </c>
      <c r="K17" s="18">
        <f t="shared" si="11"/>
        <v>28</v>
      </c>
      <c r="L17" s="18">
        <f t="shared" si="11"/>
        <v>28</v>
      </c>
      <c r="M17" s="18">
        <f t="shared" si="11"/>
        <v>28</v>
      </c>
      <c r="N17" s="18">
        <f t="shared" si="11"/>
        <v>28</v>
      </c>
      <c r="O17" s="18">
        <f t="shared" si="11"/>
        <v>24.3896720186513</v>
      </c>
      <c r="P17" s="18">
        <f t="shared" si="11"/>
        <v>27.708096557066746</v>
      </c>
      <c r="Q17" s="18">
        <f t="shared" si="5"/>
        <v>309.8054936187699</v>
      </c>
    </row>
    <row r="18" spans="2:17" x14ac:dyDescent="0.25">
      <c r="B18" s="19" t="s">
        <v>41</v>
      </c>
      <c r="C18" s="19" t="s">
        <v>20</v>
      </c>
      <c r="D18" s="20">
        <v>7.868E-2</v>
      </c>
      <c r="E18" s="18">
        <f>IF((E3-1000)&gt;0,(E3-1000)*$D18,0)</f>
        <v>15.464308858771062</v>
      </c>
      <c r="F18" s="18">
        <f t="shared" ref="F18:P18" si="12">IF((F3-1000)&gt;0,(F3-1000)*$D18,0)</f>
        <v>9.0685154388891753</v>
      </c>
      <c r="G18" s="18">
        <f t="shared" si="12"/>
        <v>0</v>
      </c>
      <c r="H18" s="18">
        <f t="shared" si="12"/>
        <v>0</v>
      </c>
      <c r="I18" s="18">
        <f t="shared" si="12"/>
        <v>0</v>
      </c>
      <c r="J18" s="18">
        <f t="shared" si="12"/>
        <v>16.377121175459575</v>
      </c>
      <c r="K18" s="18">
        <f t="shared" si="12"/>
        <v>51.693408500163805</v>
      </c>
      <c r="L18" s="18">
        <f t="shared" si="12"/>
        <v>55.147192764250555</v>
      </c>
      <c r="M18" s="18">
        <f t="shared" si="12"/>
        <v>37.938392896667594</v>
      </c>
      <c r="N18" s="18">
        <f t="shared" si="12"/>
        <v>18.103060869386074</v>
      </c>
      <c r="O18" s="18">
        <f t="shared" si="12"/>
        <v>0</v>
      </c>
      <c r="P18" s="18">
        <f t="shared" si="12"/>
        <v>0</v>
      </c>
      <c r="Q18" s="18">
        <f t="shared" si="5"/>
        <v>203.79200050358781</v>
      </c>
    </row>
    <row r="19" spans="2:17" x14ac:dyDescent="0.25">
      <c r="B19" s="21" t="s">
        <v>13</v>
      </c>
      <c r="C19" s="21" t="s">
        <v>45</v>
      </c>
      <c r="D19" s="22"/>
      <c r="E19" s="23">
        <f>SUM(E10:E18)</f>
        <v>125.07902505400298</v>
      </c>
      <c r="F19" s="23">
        <f t="shared" ref="F19:P19" si="13">SUM(F10:F18)</f>
        <v>115.07482708520705</v>
      </c>
      <c r="G19" s="23">
        <f t="shared" si="13"/>
        <v>88.731949958216902</v>
      </c>
      <c r="H19" s="23">
        <f t="shared" si="13"/>
        <v>81.767869303030878</v>
      </c>
      <c r="I19" s="23">
        <f t="shared" si="13"/>
        <v>92.207297115037477</v>
      </c>
      <c r="J19" s="23">
        <f t="shared" si="13"/>
        <v>127.73914294182485</v>
      </c>
      <c r="K19" s="23">
        <f t="shared" si="13"/>
        <v>183.43815278069809</v>
      </c>
      <c r="L19" s="23">
        <f t="shared" si="13"/>
        <v>188.88528152155376</v>
      </c>
      <c r="M19" s="23">
        <f t="shared" si="13"/>
        <v>161.74445824285056</v>
      </c>
      <c r="N19" s="23">
        <f t="shared" si="13"/>
        <v>129.20651882556359</v>
      </c>
      <c r="O19" s="23">
        <f t="shared" si="13"/>
        <v>94.417842392007216</v>
      </c>
      <c r="P19" s="23">
        <f t="shared" si="13"/>
        <v>100.36671095292735</v>
      </c>
      <c r="Q19" s="23">
        <f>SUM(E19:P19)</f>
        <v>1488.6590761729208</v>
      </c>
    </row>
    <row r="20" spans="2:17" x14ac:dyDescent="0.25">
      <c r="B20" s="10"/>
      <c r="C20" s="10"/>
      <c r="D20" s="1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25">
      <c r="B21" s="14" t="s">
        <v>42</v>
      </c>
      <c r="C21" s="10"/>
      <c r="D21" s="15"/>
      <c r="E21" s="16"/>
    </row>
    <row r="22" spans="2:17" ht="14.45" customHeight="1" x14ac:dyDescent="0.25">
      <c r="B22" s="10" t="s">
        <v>44</v>
      </c>
      <c r="C22" s="10" t="s">
        <v>45</v>
      </c>
      <c r="D22" s="15"/>
      <c r="E22" s="18">
        <f>E19</f>
        <v>125.07902505400298</v>
      </c>
      <c r="F22" s="18">
        <f t="shared" ref="F22:P22" si="14">F19</f>
        <v>115.07482708520705</v>
      </c>
      <c r="G22" s="18">
        <f t="shared" si="14"/>
        <v>88.731949958216902</v>
      </c>
      <c r="H22" s="18">
        <f t="shared" si="14"/>
        <v>81.767869303030878</v>
      </c>
      <c r="I22" s="18">
        <f t="shared" si="14"/>
        <v>92.207297115037477</v>
      </c>
      <c r="J22" s="18">
        <f t="shared" si="14"/>
        <v>127.73914294182485</v>
      </c>
      <c r="K22" s="18">
        <f t="shared" si="14"/>
        <v>183.43815278069809</v>
      </c>
      <c r="L22" s="18">
        <f t="shared" si="14"/>
        <v>188.88528152155376</v>
      </c>
      <c r="M22" s="18">
        <f t="shared" si="14"/>
        <v>161.74445824285056</v>
      </c>
      <c r="N22" s="18">
        <f t="shared" si="14"/>
        <v>129.20651882556359</v>
      </c>
      <c r="O22" s="18">
        <f t="shared" si="14"/>
        <v>94.417842392007216</v>
      </c>
      <c r="P22" s="18">
        <f t="shared" si="14"/>
        <v>100.36671095292735</v>
      </c>
      <c r="Q22" s="18">
        <f t="shared" ref="Q22" si="15">SUM(E22:P22)</f>
        <v>1488.6590761729208</v>
      </c>
    </row>
    <row r="23" spans="2:17" x14ac:dyDescent="0.25">
      <c r="B23" s="10" t="s">
        <v>43</v>
      </c>
      <c r="C23" s="19" t="s">
        <v>20</v>
      </c>
      <c r="D23" s="24">
        <f>0.106*-1</f>
        <v>-0.106</v>
      </c>
      <c r="E23" s="18">
        <f>$D$23*E4</f>
        <v>0</v>
      </c>
      <c r="F23" s="18">
        <f t="shared" ref="F23:P23" si="16">$D$23*F4</f>
        <v>0</v>
      </c>
      <c r="G23" s="18">
        <f t="shared" si="16"/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ref="Q23:Q24" si="17">SUM(E23:P23)</f>
        <v>0</v>
      </c>
    </row>
    <row r="24" spans="2:17" x14ac:dyDescent="0.25">
      <c r="B24" s="21" t="s">
        <v>13</v>
      </c>
      <c r="C24" s="21" t="s">
        <v>45</v>
      </c>
      <c r="D24" s="22"/>
      <c r="E24" s="23">
        <f>E22+E23</f>
        <v>125.07902505400298</v>
      </c>
      <c r="F24" s="23">
        <f t="shared" ref="F24:P24" si="18">F22+F23</f>
        <v>115.07482708520705</v>
      </c>
      <c r="G24" s="23">
        <f t="shared" si="18"/>
        <v>88.731949958216902</v>
      </c>
      <c r="H24" s="23">
        <f t="shared" si="18"/>
        <v>81.767869303030878</v>
      </c>
      <c r="I24" s="23">
        <f t="shared" si="18"/>
        <v>92.207297115037477</v>
      </c>
      <c r="J24" s="23">
        <f t="shared" si="18"/>
        <v>127.73914294182485</v>
      </c>
      <c r="K24" s="23">
        <f t="shared" si="18"/>
        <v>183.43815278069809</v>
      </c>
      <c r="L24" s="23">
        <f t="shared" si="18"/>
        <v>188.88528152155376</v>
      </c>
      <c r="M24" s="23">
        <f t="shared" si="18"/>
        <v>161.74445824285056</v>
      </c>
      <c r="N24" s="23">
        <f t="shared" si="18"/>
        <v>129.20651882556359</v>
      </c>
      <c r="O24" s="23">
        <f t="shared" si="18"/>
        <v>94.417842392007216</v>
      </c>
      <c r="P24" s="23">
        <f t="shared" si="18"/>
        <v>100.36671095292735</v>
      </c>
      <c r="Q24" s="23">
        <f t="shared" si="17"/>
        <v>1488.6590761729208</v>
      </c>
    </row>
    <row r="25" spans="2:17" x14ac:dyDescent="0.25">
      <c r="B25" s="19"/>
      <c r="C25" s="19"/>
      <c r="E25" s="25"/>
    </row>
    <row r="26" spans="2:17" x14ac:dyDescent="0.25">
      <c r="B26" s="21" t="s">
        <v>24</v>
      </c>
      <c r="C26" s="6"/>
      <c r="D26" s="6"/>
      <c r="E26" s="7">
        <f>E24-E19</f>
        <v>0</v>
      </c>
      <c r="F26" s="7">
        <f t="shared" ref="F26:P26" si="19">F24-F19</f>
        <v>0</v>
      </c>
      <c r="G26" s="7">
        <f t="shared" si="19"/>
        <v>0</v>
      </c>
      <c r="H26" s="7">
        <f t="shared" si="19"/>
        <v>0</v>
      </c>
      <c r="I26" s="7">
        <f t="shared" si="19"/>
        <v>0</v>
      </c>
      <c r="J26" s="7">
        <f t="shared" si="19"/>
        <v>0</v>
      </c>
      <c r="K26" s="7">
        <f t="shared" si="19"/>
        <v>0</v>
      </c>
      <c r="L26" s="7">
        <f t="shared" si="19"/>
        <v>0</v>
      </c>
      <c r="M26" s="7">
        <f t="shared" si="19"/>
        <v>0</v>
      </c>
      <c r="N26" s="7">
        <f t="shared" si="19"/>
        <v>0</v>
      </c>
      <c r="O26" s="7">
        <f t="shared" si="19"/>
        <v>0</v>
      </c>
      <c r="P26" s="7">
        <f t="shared" si="19"/>
        <v>0</v>
      </c>
      <c r="Q26" s="23">
        <f t="shared" ref="Q26" si="20">SUM(E26:P26)</f>
        <v>0</v>
      </c>
    </row>
    <row r="28" spans="2:17" x14ac:dyDescent="0.25">
      <c r="B28" s="6" t="s">
        <v>60</v>
      </c>
      <c r="C28" s="6"/>
      <c r="D28" s="6"/>
      <c r="E28" s="33">
        <f>'Solar Project Loan'!$C$12</f>
        <v>94.743856021397619</v>
      </c>
      <c r="F28" s="33">
        <f>'Solar Project Loan'!$C$12</f>
        <v>94.743856021397619</v>
      </c>
      <c r="G28" s="33">
        <f>'Solar Project Loan'!$C$12</f>
        <v>94.743856021397619</v>
      </c>
      <c r="H28" s="33">
        <f>'Solar Project Loan'!$C$12</f>
        <v>94.743856021397619</v>
      </c>
      <c r="I28" s="33">
        <f>'Solar Project Loan'!$C$12</f>
        <v>94.743856021397619</v>
      </c>
      <c r="J28" s="33">
        <f>'Solar Project Loan'!$C$12</f>
        <v>94.743856021397619</v>
      </c>
      <c r="K28" s="33">
        <f>'Solar Project Loan'!$C$12</f>
        <v>94.743856021397619</v>
      </c>
      <c r="L28" s="33">
        <f>'Solar Project Loan'!$C$12</f>
        <v>94.743856021397619</v>
      </c>
      <c r="M28" s="33">
        <f>'Solar Project Loan'!$C$12</f>
        <v>94.743856021397619</v>
      </c>
      <c r="N28" s="33">
        <f>'Solar Project Loan'!$C$12</f>
        <v>94.743856021397619</v>
      </c>
      <c r="O28" s="33">
        <f>'Solar Project Loan'!$C$12</f>
        <v>94.743856021397619</v>
      </c>
      <c r="P28" s="33">
        <f>'Solar Project Loan'!$C$12</f>
        <v>94.743856021397619</v>
      </c>
      <c r="Q28" s="33">
        <f>SUM(E28:P28)</f>
        <v>1136.9262722567714</v>
      </c>
    </row>
    <row r="30" spans="2:17" x14ac:dyDescent="0.25">
      <c r="B30" s="6" t="s">
        <v>61</v>
      </c>
      <c r="E30" s="7">
        <f>E26+E28</f>
        <v>94.743856021397619</v>
      </c>
      <c r="F30" s="7">
        <f t="shared" ref="F30:P30" si="21">F26+F28</f>
        <v>94.743856021397619</v>
      </c>
      <c r="G30" s="7">
        <f t="shared" si="21"/>
        <v>94.743856021397619</v>
      </c>
      <c r="H30" s="7">
        <f t="shared" si="21"/>
        <v>94.743856021397619</v>
      </c>
      <c r="I30" s="7">
        <f t="shared" si="21"/>
        <v>94.743856021397619</v>
      </c>
      <c r="J30" s="7">
        <f t="shared" si="21"/>
        <v>94.743856021397619</v>
      </c>
      <c r="K30" s="7">
        <f t="shared" si="21"/>
        <v>94.743856021397619</v>
      </c>
      <c r="L30" s="7">
        <f t="shared" si="21"/>
        <v>94.743856021397619</v>
      </c>
      <c r="M30" s="7">
        <f t="shared" si="21"/>
        <v>94.743856021397619</v>
      </c>
      <c r="N30" s="7">
        <f t="shared" si="21"/>
        <v>94.743856021397619</v>
      </c>
      <c r="O30" s="7">
        <f t="shared" si="21"/>
        <v>94.743856021397619</v>
      </c>
      <c r="P30" s="7">
        <f t="shared" si="21"/>
        <v>94.743856021397619</v>
      </c>
      <c r="Q30" s="33">
        <f>SUM(E30:P30)</f>
        <v>1136.9262722567714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workbookViewId="0">
      <selection activeCell="C3" sqref="C3"/>
    </sheetView>
  </sheetViews>
  <sheetFormatPr defaultRowHeight="15" x14ac:dyDescent="0.25"/>
  <cols>
    <col min="2" max="2" width="23.7109375" customWidth="1"/>
    <col min="3" max="3" width="9.140625" bestFit="1" customWidth="1"/>
  </cols>
  <sheetData>
    <row r="3" spans="2:4" x14ac:dyDescent="0.25">
      <c r="B3" t="s">
        <v>46</v>
      </c>
      <c r="C3" s="31">
        <v>5</v>
      </c>
      <c r="D3" t="s">
        <v>54</v>
      </c>
    </row>
    <row r="4" spans="2:4" x14ac:dyDescent="0.25">
      <c r="C4" s="5">
        <f>C3/1.1</f>
        <v>4.545454545454545</v>
      </c>
      <c r="D4" t="s">
        <v>55</v>
      </c>
    </row>
    <row r="5" spans="2:4" x14ac:dyDescent="0.25">
      <c r="B5" t="s">
        <v>56</v>
      </c>
      <c r="C5">
        <v>2.5</v>
      </c>
      <c r="D5" t="s">
        <v>57</v>
      </c>
    </row>
    <row r="6" spans="2:4" x14ac:dyDescent="0.25">
      <c r="B6" t="s">
        <v>47</v>
      </c>
      <c r="C6" s="30">
        <f>C3*1000*C5*-1</f>
        <v>-12500</v>
      </c>
    </row>
    <row r="7" spans="2:4" x14ac:dyDescent="0.25">
      <c r="B7" t="s">
        <v>48</v>
      </c>
      <c r="C7" s="26">
        <v>0.3</v>
      </c>
    </row>
    <row r="8" spans="2:4" x14ac:dyDescent="0.25">
      <c r="B8" t="s">
        <v>48</v>
      </c>
      <c r="C8" s="30">
        <f>C7*C6</f>
        <v>-3750</v>
      </c>
    </row>
    <row r="9" spans="2:4" x14ac:dyDescent="0.25">
      <c r="B9" t="s">
        <v>49</v>
      </c>
      <c r="C9" s="30">
        <f>C6-C8</f>
        <v>-8750</v>
      </c>
    </row>
    <row r="10" spans="2:4" x14ac:dyDescent="0.25">
      <c r="B10" t="s">
        <v>50</v>
      </c>
      <c r="C10" s="27">
        <v>5.45E-2</v>
      </c>
    </row>
    <row r="11" spans="2:4" x14ac:dyDescent="0.25">
      <c r="B11" t="s">
        <v>51</v>
      </c>
      <c r="C11">
        <v>10</v>
      </c>
      <c r="D11" t="s">
        <v>52</v>
      </c>
    </row>
    <row r="12" spans="2:4" x14ac:dyDescent="0.25">
      <c r="B12" t="s">
        <v>53</v>
      </c>
      <c r="C12" s="28">
        <f>PMT(C10/12,C11*12,C9)</f>
        <v>94.743856021397619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5"/>
  <sheetViews>
    <sheetView workbookViewId="0">
      <selection activeCell="L15" sqref="L15"/>
    </sheetView>
  </sheetViews>
  <sheetFormatPr defaultRowHeight="15" x14ac:dyDescent="0.25"/>
  <cols>
    <col min="3" max="3" width="25.85546875" customWidth="1"/>
    <col min="4" max="4" width="12.7109375" customWidth="1"/>
  </cols>
  <sheetData>
    <row r="4" spans="3:8" x14ac:dyDescent="0.25">
      <c r="E4">
        <v>5</v>
      </c>
      <c r="F4">
        <v>7.5</v>
      </c>
      <c r="G4">
        <v>10</v>
      </c>
      <c r="H4">
        <v>12.5</v>
      </c>
    </row>
    <row r="5" spans="3:8" x14ac:dyDescent="0.25">
      <c r="C5" t="s">
        <v>62</v>
      </c>
      <c r="D5" t="s">
        <v>63</v>
      </c>
      <c r="E5">
        <v>1443</v>
      </c>
      <c r="F5">
        <v>1443</v>
      </c>
      <c r="G5">
        <v>1443</v>
      </c>
      <c r="H5">
        <v>1443</v>
      </c>
    </row>
    <row r="6" spans="3:8" x14ac:dyDescent="0.25">
      <c r="D6" t="s">
        <v>64</v>
      </c>
      <c r="E6">
        <v>1488</v>
      </c>
      <c r="F6">
        <v>1488</v>
      </c>
      <c r="G6">
        <v>1488</v>
      </c>
      <c r="H6">
        <v>1488</v>
      </c>
    </row>
    <row r="7" spans="3:8" x14ac:dyDescent="0.25">
      <c r="D7" t="s">
        <v>24</v>
      </c>
      <c r="E7">
        <f>E5-E6</f>
        <v>-45</v>
      </c>
      <c r="F7">
        <f t="shared" ref="F7:H7" si="0">F5-F6</f>
        <v>-45</v>
      </c>
      <c r="G7">
        <f t="shared" si="0"/>
        <v>-45</v>
      </c>
      <c r="H7">
        <f t="shared" si="0"/>
        <v>-45</v>
      </c>
    </row>
    <row r="9" spans="3:8" x14ac:dyDescent="0.25">
      <c r="C9" t="s">
        <v>65</v>
      </c>
      <c r="D9" t="s">
        <v>63</v>
      </c>
      <c r="E9" s="29"/>
      <c r="F9" s="29"/>
      <c r="G9" s="29"/>
      <c r="H9" s="29"/>
    </row>
    <row r="10" spans="3:8" x14ac:dyDescent="0.25">
      <c r="D10" t="s">
        <v>64</v>
      </c>
      <c r="E10" s="29"/>
      <c r="F10" s="29"/>
      <c r="G10" s="29"/>
      <c r="H10" s="29"/>
    </row>
    <row r="11" spans="3:8" x14ac:dyDescent="0.25">
      <c r="D11" t="s">
        <v>24</v>
      </c>
      <c r="E11" s="29"/>
      <c r="F11" s="29"/>
      <c r="G11" s="29"/>
      <c r="H11" s="29"/>
    </row>
    <row r="13" spans="3:8" x14ac:dyDescent="0.25">
      <c r="C13" t="s">
        <v>66</v>
      </c>
      <c r="D13" t="s">
        <v>63</v>
      </c>
    </row>
    <row r="14" spans="3:8" x14ac:dyDescent="0.25">
      <c r="D14" t="s">
        <v>64</v>
      </c>
      <c r="E14" s="29"/>
      <c r="F14" s="29"/>
      <c r="G14" s="29"/>
      <c r="H14" s="29"/>
    </row>
    <row r="15" spans="3:8" x14ac:dyDescent="0.25">
      <c r="D15" t="s">
        <v>24</v>
      </c>
      <c r="E15" s="29"/>
      <c r="F15" s="29"/>
      <c r="G15" s="29"/>
      <c r="H1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Residential Usage</vt:lpstr>
      <vt:lpstr>PEC Net Metering Rate</vt:lpstr>
      <vt:lpstr>AE Value of Solar Rate</vt:lpstr>
      <vt:lpstr>Solar Project Loan</vt:lpstr>
      <vt:lpstr>Compare Table</vt:lpstr>
    </vt:vector>
  </TitlesOfParts>
  <Company>Pedernales Electric Cooperative,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Sterzing, Ingmar</dc:creator>
  <cp:lastModifiedBy>Baldick, Ross</cp:lastModifiedBy>
  <dcterms:created xsi:type="dcterms:W3CDTF">2017-04-06T05:54:59Z</dcterms:created>
  <dcterms:modified xsi:type="dcterms:W3CDTF">2019-04-08T20:11:57Z</dcterms:modified>
</cp:coreProperties>
</file>